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20" windowHeight="7695" activeTab="0"/>
  </bookViews>
  <sheets>
    <sheet name="Portfolio Model" sheetId="1" r:id="rId1"/>
    <sheet name="Retirement Model Projection" sheetId="2" r:id="rId2"/>
    <sheet name="Char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D4" authorId="0">
      <text>
        <r>
          <rPr>
            <b/>
            <sz val="8"/>
            <rFont val="Tahoma"/>
            <family val="0"/>
          </rPr>
          <t>Opening Balance:</t>
        </r>
        <r>
          <rPr>
            <sz val="8"/>
            <rFont val="Tahoma"/>
            <family val="0"/>
          </rPr>
          <t xml:space="preserve">
The opening portfolio balance.  The portfolio will be allocated among equity and fixed income as provided by the portoflio allocation fields, below.
</t>
        </r>
      </text>
    </comment>
    <comment ref="D7" authorId="0">
      <text>
        <r>
          <rPr>
            <b/>
            <sz val="8"/>
            <rFont val="Tahoma"/>
            <family val="0"/>
          </rPr>
          <t>Equity Allocation:</t>
        </r>
        <r>
          <rPr>
            <sz val="8"/>
            <rFont val="Tahoma"/>
            <family val="0"/>
          </rPr>
          <t xml:space="preserve">
Allocation of the total portfolio value to equity.  In this model, the portfolio is rebalanced in each period.
</t>
        </r>
      </text>
    </comment>
    <comment ref="D8" authorId="0">
      <text>
        <r>
          <rPr>
            <b/>
            <sz val="8"/>
            <rFont val="Tahoma"/>
            <family val="0"/>
          </rPr>
          <t>Expected Return:</t>
        </r>
        <r>
          <rPr>
            <sz val="8"/>
            <rFont val="Tahoma"/>
            <family val="0"/>
          </rPr>
          <t xml:space="preserve">
The expected return of the equity portion of the portfolio.</t>
        </r>
      </text>
    </comment>
    <comment ref="D9" authorId="0">
      <text>
        <r>
          <rPr>
            <b/>
            <sz val="8"/>
            <rFont val="Tahoma"/>
            <family val="0"/>
          </rPr>
          <t>Standard Deviation:</t>
        </r>
        <r>
          <rPr>
            <sz val="8"/>
            <rFont val="Tahoma"/>
            <family val="0"/>
          </rPr>
          <t xml:space="preserve">
The standard deviation of the equity portfolio.</t>
        </r>
      </text>
    </comment>
    <comment ref="D13" authorId="0">
      <text>
        <r>
          <rPr>
            <b/>
            <sz val="8"/>
            <rFont val="Tahoma"/>
            <family val="0"/>
          </rPr>
          <t>Fixed Income Allocation:</t>
        </r>
        <r>
          <rPr>
            <sz val="8"/>
            <rFont val="Tahoma"/>
            <family val="0"/>
          </rPr>
          <t xml:space="preserve">
The portion of the portfolio allocated to fixed income.  In this model, the portfolio is rebalanced in each period.</t>
        </r>
      </text>
    </comment>
    <comment ref="D14" authorId="0">
      <text>
        <r>
          <rPr>
            <b/>
            <sz val="8"/>
            <rFont val="Tahoma"/>
            <family val="0"/>
          </rPr>
          <t>Return on Fixed Income:</t>
        </r>
        <r>
          <rPr>
            <sz val="8"/>
            <rFont val="Tahoma"/>
            <family val="0"/>
          </rPr>
          <t xml:space="preserve">
Return on fixed income.  In this model, the fixed income portfolio is assumed to be risk-free.</t>
        </r>
      </text>
    </comment>
    <comment ref="D19" authorId="0">
      <text>
        <r>
          <rPr>
            <b/>
            <sz val="8"/>
            <rFont val="Tahoma"/>
            <family val="0"/>
          </rPr>
          <t>Withdrawal:</t>
        </r>
        <r>
          <rPr>
            <sz val="8"/>
            <rFont val="Tahoma"/>
            <family val="0"/>
          </rPr>
          <t xml:space="preserve">
The retirement income withdrawn in each period following retirement.</t>
        </r>
      </text>
    </comment>
    <comment ref="D21" authorId="0">
      <text>
        <r>
          <rPr>
            <b/>
            <sz val="8"/>
            <rFont val="Tahoma"/>
            <family val="0"/>
          </rPr>
          <t>Portfolio Cost:</t>
        </r>
        <r>
          <rPr>
            <sz val="8"/>
            <rFont val="Tahoma"/>
            <family val="0"/>
          </rPr>
          <t xml:space="preserve">
Portfolio cost in each period, here calculated as a percentage of the portfolio value.</t>
        </r>
      </text>
    </comment>
    <comment ref="D25" authorId="0">
      <text>
        <r>
          <rPr>
            <b/>
            <sz val="8"/>
            <rFont val="Tahoma"/>
            <family val="0"/>
          </rPr>
          <t>Mean Portfolio Balance:</t>
        </r>
        <r>
          <rPr>
            <sz val="8"/>
            <rFont val="Tahoma"/>
            <family val="0"/>
          </rPr>
          <t xml:space="preserve">
The mean (average) portfolio value from the Monte Carlo simulation after 10 years.</t>
        </r>
      </text>
    </comment>
    <comment ref="D28" authorId="0">
      <text>
        <r>
          <rPr>
            <b/>
            <sz val="8"/>
            <rFont val="Tahoma"/>
            <family val="0"/>
          </rPr>
          <t>5th / 95th Percentile:</t>
        </r>
        <r>
          <rPr>
            <sz val="8"/>
            <rFont val="Tahoma"/>
            <family val="0"/>
          </rPr>
          <t xml:space="preserve">
The portfolio balance, from the Monte Carlo simulation, at the 5th and 95th percentile.  This is close to the maximum and minimum value returned; the 5th and 95th percentiles are used to remove outlier or extreme values.
These percentiles are the outside bands on the chart.</t>
        </r>
      </text>
    </comment>
    <comment ref="D30" authorId="0">
      <text>
        <r>
          <rPr>
            <b/>
            <sz val="8"/>
            <rFont val="Tahoma"/>
            <family val="0"/>
          </rPr>
          <t>Probability of Positive Balance:</t>
        </r>
        <r>
          <rPr>
            <sz val="8"/>
            <rFont val="Tahoma"/>
            <family val="0"/>
          </rPr>
          <t xml:space="preserve">
The probability, from the Monte Carlo simulation, that the value of the portfolio will be positive at the end of this year.</t>
        </r>
      </text>
    </comment>
    <comment ref="D18" authorId="0">
      <text>
        <r>
          <rPr>
            <b/>
            <sz val="8"/>
            <rFont val="Tahoma"/>
            <family val="0"/>
          </rPr>
          <t>Contribution:</t>
        </r>
        <r>
          <rPr>
            <sz val="8"/>
            <rFont val="Tahoma"/>
            <family val="0"/>
          </rPr>
          <t xml:space="preserve">
The amount contributed to the retirement account in each year until retirement.</t>
        </r>
      </text>
    </comment>
    <comment ref="D17" authorId="0">
      <text>
        <r>
          <rPr>
            <b/>
            <sz val="8"/>
            <rFont val="Tahoma"/>
            <family val="0"/>
          </rPr>
          <t>Years Until Retirement:</t>
        </r>
        <r>
          <rPr>
            <sz val="8"/>
            <rFont val="Tahoma"/>
            <family val="0"/>
          </rPr>
          <t xml:space="preserve">
Until retirement, the contribution amount will be added to the portfolio at the end of each year.</t>
        </r>
      </text>
    </comment>
  </commentList>
</comments>
</file>

<file path=xl/sharedStrings.xml><?xml version="1.0" encoding="utf-8"?>
<sst xmlns="http://schemas.openxmlformats.org/spreadsheetml/2006/main" count="65" uniqueCount="50">
  <si>
    <t>Opening balance</t>
  </si>
  <si>
    <t>Expected Return</t>
  </si>
  <si>
    <t>Standard Deviation</t>
  </si>
  <si>
    <t>Year</t>
  </si>
  <si>
    <t>Equity portfolio</t>
  </si>
  <si>
    <t>Fixed income</t>
  </si>
  <si>
    <t>Portfolio Allocation</t>
  </si>
  <si>
    <t>Return on Equity</t>
  </si>
  <si>
    <t>Return on Debt</t>
  </si>
  <si>
    <t>Withdrawal</t>
  </si>
  <si>
    <t>Total Return</t>
  </si>
  <si>
    <t>Equity Balance</t>
  </si>
  <si>
    <t>Debt Balance</t>
  </si>
  <si>
    <t>Closing Balance</t>
  </si>
  <si>
    <t>Return</t>
  </si>
  <si>
    <t>Mean Portfolio Balance</t>
  </si>
  <si>
    <t>5th Percentile</t>
  </si>
  <si>
    <t>95th Percentile</t>
  </si>
  <si>
    <t>Mean Closing Balance</t>
  </si>
  <si>
    <t>Gross Balance</t>
  </si>
  <si>
    <t>Annual Cost (% of Portfolio)</t>
  </si>
  <si>
    <t>Costs</t>
  </si>
  <si>
    <t>Median Portfolio Balance</t>
  </si>
  <si>
    <t>Assumptions:</t>
  </si>
  <si>
    <t>Costs are constant (as a percentage of portfolio value) and equity returns are constant</t>
  </si>
  <si>
    <t>(in terms of mean and variance) over the lifetime of the portfolio.  The porfolio is</t>
  </si>
  <si>
    <t>rebalanced at the open of each period according to the target portfolio weights.  Inflation</t>
  </si>
  <si>
    <t>is not calculated.  Equity returns are sampled from the normal (gaussian) distribution.</t>
  </si>
  <si>
    <t>Probability of Value &gt; 0</t>
  </si>
  <si>
    <t>This spreadsheet requires the RiskAMP Monte Carlo add-in.  To download a trial version,</t>
  </si>
  <si>
    <t>visit our website at www.riskamp.com.</t>
  </si>
  <si>
    <t>To run a simulation, update the values in the "Portfolio Model" section, above, and then</t>
  </si>
  <si>
    <t>(red corners) for details, or visit our website for more information and more examples.</t>
  </si>
  <si>
    <t>select "Monte Carlo" -&gt; "Run Simulation" from the menu.  Mouse over the cell comments</t>
  </si>
  <si>
    <t>Retirement Portfolio Model</t>
  </si>
  <si>
    <t xml:space="preserve">The retirement model and the data used to derive the chart are in the next worksheets. </t>
  </si>
  <si>
    <t>The statistics at left represent an analysis of the risk inherent in this retirement model.</t>
  </si>
  <si>
    <t xml:space="preserve">This worksheet represents the retirement model in a single iteration (trial) of the simulation.  </t>
  </si>
  <si>
    <t>Each year's return is sampled independently in each trial to generate the complete simulation result.</t>
  </si>
  <si>
    <t>This worksheet contains data used to construct the chart.  The table below contains the mean and</t>
  </si>
  <si>
    <t>range of values (to the 5th and 95th percentile) observed during the Monte Carlo simulation.</t>
  </si>
  <si>
    <t>Annual Contribution (Until Retirement)</t>
  </si>
  <si>
    <t>Annual Withdrawal (After Retirement)</t>
  </si>
  <si>
    <t>Years Until Retirement</t>
  </si>
  <si>
    <t>Contribution</t>
  </si>
  <si>
    <t>Analysis at Retirement Year</t>
  </si>
  <si>
    <t>10-Year Retirement Analysis</t>
  </si>
  <si>
    <t>Opening Equity Balance</t>
  </si>
  <si>
    <t>Opening Fixed Income Balance</t>
  </si>
  <si>
    <t>15-Year Retirement Analysis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</si>
</sst>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%"/>
    <numFmt numFmtId="171" formatCode="&quot;$&quot;#,##0.00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7" fontId="1" fillId="2" borderId="0" xfId="15" applyNumberFormat="1" applyFont="1" applyFill="1" applyAlignment="1">
      <alignment/>
    </xf>
    <xf numFmtId="0" fontId="0" fillId="2" borderId="1" xfId="0" applyFill="1" applyBorder="1" applyAlignment="1">
      <alignment/>
    </xf>
    <xf numFmtId="169" fontId="0" fillId="2" borderId="0" xfId="0" applyNumberFormat="1" applyFill="1" applyAlignment="1">
      <alignment/>
    </xf>
    <xf numFmtId="9" fontId="0" fillId="2" borderId="0" xfId="19" applyFill="1" applyAlignment="1">
      <alignment/>
    </xf>
    <xf numFmtId="167" fontId="0" fillId="2" borderId="2" xfId="15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4" fillId="2" borderId="0" xfId="0" applyFont="1" applyFill="1" applyAlignment="1">
      <alignment/>
    </xf>
    <xf numFmtId="167" fontId="4" fillId="2" borderId="0" xfId="15" applyNumberFormat="1" applyFont="1" applyFill="1" applyAlignment="1">
      <alignment/>
    </xf>
    <xf numFmtId="9" fontId="4" fillId="2" borderId="0" xfId="19" applyFont="1" applyFill="1" applyAlignment="1">
      <alignment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2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'Chart Data'!$C$5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Data'!$C$6:$C$30</c:f>
              <c:numCache>
                <c:ptCount val="25"/>
                <c:pt idx="0">
                  <c:v>977217.7925551068</c:v>
                </c:pt>
                <c:pt idx="1">
                  <c:v>998606.563264196</c:v>
                </c:pt>
                <c:pt idx="2">
                  <c:v>1023524.4001091798</c:v>
                </c:pt>
                <c:pt idx="3">
                  <c:v>1055321.493616607</c:v>
                </c:pt>
                <c:pt idx="4">
                  <c:v>1087847.614556113</c:v>
                </c:pt>
                <c:pt idx="5">
                  <c:v>989794.3126298257</c:v>
                </c:pt>
                <c:pt idx="6">
                  <c:v>892189.5208785185</c:v>
                </c:pt>
                <c:pt idx="7">
                  <c:v>796885.6722902477</c:v>
                </c:pt>
                <c:pt idx="8">
                  <c:v>703456.1879301154</c:v>
                </c:pt>
                <c:pt idx="9">
                  <c:v>604896.2621743013</c:v>
                </c:pt>
                <c:pt idx="10">
                  <c:v>510640.77613087755</c:v>
                </c:pt>
                <c:pt idx="11">
                  <c:v>417033.01246590837</c:v>
                </c:pt>
                <c:pt idx="12">
                  <c:v>319551.46689562226</c:v>
                </c:pt>
                <c:pt idx="13">
                  <c:v>225217.9256623147</c:v>
                </c:pt>
                <c:pt idx="14">
                  <c:v>127691.08014971713</c:v>
                </c:pt>
                <c:pt idx="15">
                  <c:v>29813.50697759376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Data'!$B$5</c:f>
              <c:strCache>
                <c:ptCount val="1"/>
                <c:pt idx="0">
                  <c:v>Mean Closing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Data'!$B$6:$B$30</c:f>
              <c:numCache>
                <c:ptCount val="25"/>
                <c:pt idx="0">
                  <c:v>1053288.9421018695</c:v>
                </c:pt>
                <c:pt idx="1">
                  <c:v>1107500.2303199223</c:v>
                </c:pt>
                <c:pt idx="2">
                  <c:v>1162734.2612687217</c:v>
                </c:pt>
                <c:pt idx="3">
                  <c:v>1218966.9936879147</c:v>
                </c:pt>
                <c:pt idx="4">
                  <c:v>1276267.7751783386</c:v>
                </c:pt>
                <c:pt idx="5">
                  <c:v>1199612.120272434</c:v>
                </c:pt>
                <c:pt idx="6">
                  <c:v>1121577.6367363874</c:v>
                </c:pt>
                <c:pt idx="7">
                  <c:v>1042002.7833062859</c:v>
                </c:pt>
                <c:pt idx="8">
                  <c:v>961134.4990883432</c:v>
                </c:pt>
                <c:pt idx="9">
                  <c:v>878926.156196268</c:v>
                </c:pt>
                <c:pt idx="10">
                  <c:v>795110.0814117254</c:v>
                </c:pt>
                <c:pt idx="11">
                  <c:v>709533.5819146024</c:v>
                </c:pt>
                <c:pt idx="12">
                  <c:v>622433.2158715555</c:v>
                </c:pt>
                <c:pt idx="13">
                  <c:v>533722.8272672156</c:v>
                </c:pt>
                <c:pt idx="14">
                  <c:v>443882.3797673743</c:v>
                </c:pt>
                <c:pt idx="15">
                  <c:v>353589.0247269672</c:v>
                </c:pt>
                <c:pt idx="16">
                  <c:v>266663.6604631439</c:v>
                </c:pt>
                <c:pt idx="17">
                  <c:v>188409.57217568645</c:v>
                </c:pt>
                <c:pt idx="18">
                  <c:v>124559.00083093181</c:v>
                </c:pt>
                <c:pt idx="19">
                  <c:v>77580.36560046405</c:v>
                </c:pt>
                <c:pt idx="20">
                  <c:v>46020.98875297372</c:v>
                </c:pt>
                <c:pt idx="21">
                  <c:v>26112.03987359741</c:v>
                </c:pt>
                <c:pt idx="22">
                  <c:v>14273.815632175174</c:v>
                </c:pt>
                <c:pt idx="23">
                  <c:v>7769.586672707774</c:v>
                </c:pt>
                <c:pt idx="24">
                  <c:v>4370.136481841119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'Chart Data'!$D$5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Data'!$D$6:$D$30</c:f>
              <c:numCache>
                <c:ptCount val="25"/>
                <c:pt idx="0">
                  <c:v>1129262.0439412692</c:v>
                </c:pt>
                <c:pt idx="1">
                  <c:v>1221301.4554463252</c:v>
                </c:pt>
                <c:pt idx="2">
                  <c:v>1304805.677822431</c:v>
                </c:pt>
                <c:pt idx="3">
                  <c:v>1388689.795034474</c:v>
                </c:pt>
                <c:pt idx="4">
                  <c:v>1475423.6157098308</c:v>
                </c:pt>
                <c:pt idx="5">
                  <c:v>1431961.3104593388</c:v>
                </c:pt>
                <c:pt idx="6">
                  <c:v>1378902.705706765</c:v>
                </c:pt>
                <c:pt idx="7">
                  <c:v>1318548.4818838944</c:v>
                </c:pt>
                <c:pt idx="8">
                  <c:v>1258238.9852407062</c:v>
                </c:pt>
                <c:pt idx="9">
                  <c:v>1196475.3603049822</c:v>
                </c:pt>
                <c:pt idx="10">
                  <c:v>1126991.417279942</c:v>
                </c:pt>
                <c:pt idx="11">
                  <c:v>1052533.5790301522</c:v>
                </c:pt>
                <c:pt idx="12">
                  <c:v>975373.5355652256</c:v>
                </c:pt>
                <c:pt idx="13">
                  <c:v>900286.3974970302</c:v>
                </c:pt>
                <c:pt idx="14">
                  <c:v>815267.5101833415</c:v>
                </c:pt>
                <c:pt idx="15">
                  <c:v>732348.6245394605</c:v>
                </c:pt>
                <c:pt idx="16">
                  <c:v>652522.0588694544</c:v>
                </c:pt>
                <c:pt idx="17">
                  <c:v>559527.7294399076</c:v>
                </c:pt>
                <c:pt idx="18">
                  <c:v>464953.3103609575</c:v>
                </c:pt>
                <c:pt idx="19">
                  <c:v>377716.74506150436</c:v>
                </c:pt>
                <c:pt idx="20">
                  <c:v>284650.53907047794</c:v>
                </c:pt>
                <c:pt idx="21">
                  <c:v>193676.94417927688</c:v>
                </c:pt>
                <c:pt idx="22">
                  <c:v>94011.36409020217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</c:scaling>
        <c:axPos val="l"/>
        <c:majorGridlines/>
        <c:delete val="0"/>
        <c:numFmt formatCode="&quot;$&quot;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209550</xdr:colOff>
      <xdr:row>28</xdr:row>
      <xdr:rowOff>0</xdr:rowOff>
    </xdr:to>
    <xdr:graphicFrame>
      <xdr:nvGraphicFramePr>
        <xdr:cNvPr id="1" name="Chart 16"/>
        <xdr:cNvGraphicFramePr/>
      </xdr:nvGraphicFramePr>
      <xdr:xfrm>
        <a:off x="3914775" y="161925"/>
        <a:ext cx="5086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4.140625" style="5" customWidth="1"/>
    <col min="2" max="2" width="2.57421875" style="5" customWidth="1"/>
    <col min="3" max="3" width="30.57421875" style="5" customWidth="1"/>
    <col min="4" max="4" width="14.57421875" style="5" customWidth="1"/>
    <col min="5" max="5" width="3.57421875" style="5" customWidth="1"/>
    <col min="6" max="6" width="3.28125" style="5" customWidth="1"/>
    <col min="7" max="14" width="9.140625" style="5" customWidth="1"/>
    <col min="15" max="15" width="4.00390625" style="5" customWidth="1"/>
    <col min="16" max="16384" width="9.140625" style="5" customWidth="1"/>
  </cols>
  <sheetData>
    <row r="1" ht="12.75"/>
    <row r="2" spans="2:5" ht="12.75">
      <c r="B2" s="9" t="s">
        <v>34</v>
      </c>
      <c r="C2" s="9"/>
      <c r="D2" s="9"/>
      <c r="E2" s="18"/>
    </row>
    <row r="3" ht="12.75"/>
    <row r="4" spans="2:5" ht="12.75">
      <c r="B4" s="5" t="s">
        <v>0</v>
      </c>
      <c r="D4" s="12">
        <v>1000000</v>
      </c>
      <c r="E4" s="19"/>
    </row>
    <row r="5" ht="12.75"/>
    <row r="6" ht="12.75">
      <c r="B6" s="5" t="s">
        <v>4</v>
      </c>
    </row>
    <row r="7" spans="3:5" ht="12.75">
      <c r="C7" s="5" t="s">
        <v>6</v>
      </c>
      <c r="D7" s="13">
        <v>0.6</v>
      </c>
      <c r="E7" s="20"/>
    </row>
    <row r="8" spans="3:5" ht="12.75">
      <c r="C8" s="5" t="s">
        <v>1</v>
      </c>
      <c r="D8" s="14">
        <v>0.054</v>
      </c>
      <c r="E8" s="21"/>
    </row>
    <row r="9" spans="3:5" ht="12.75">
      <c r="C9" s="5" t="s">
        <v>2</v>
      </c>
      <c r="D9" s="14">
        <v>0.079</v>
      </c>
      <c r="E9" s="21"/>
    </row>
    <row r="10" spans="3:5" ht="12.75">
      <c r="C10" s="5" t="s">
        <v>47</v>
      </c>
      <c r="D10" s="10">
        <f>D7*D4</f>
        <v>600000</v>
      </c>
      <c r="E10" s="10"/>
    </row>
    <row r="11" ht="12.75"/>
    <row r="12" ht="12.75">
      <c r="B12" s="5" t="s">
        <v>5</v>
      </c>
    </row>
    <row r="13" spans="3:5" ht="12.75">
      <c r="C13" s="5" t="s">
        <v>6</v>
      </c>
      <c r="D13" s="13">
        <f>1-D7</f>
        <v>0.4</v>
      </c>
      <c r="E13" s="20"/>
    </row>
    <row r="14" spans="3:5" ht="12.75">
      <c r="C14" s="5" t="s">
        <v>1</v>
      </c>
      <c r="D14" s="14">
        <v>0.03</v>
      </c>
      <c r="E14" s="21"/>
    </row>
    <row r="15" spans="3:5" ht="12.75">
      <c r="C15" s="5" t="s">
        <v>48</v>
      </c>
      <c r="D15" s="10">
        <f>D4*D13</f>
        <v>400000</v>
      </c>
      <c r="E15" s="10"/>
    </row>
    <row r="16" ht="12.75"/>
    <row r="17" spans="2:5" ht="12.75">
      <c r="B17" s="5" t="s">
        <v>43</v>
      </c>
      <c r="D17" s="12">
        <v>5</v>
      </c>
      <c r="E17" s="19"/>
    </row>
    <row r="18" spans="2:5" ht="12.75">
      <c r="B18" s="5" t="s">
        <v>41</v>
      </c>
      <c r="D18" s="12">
        <v>35000</v>
      </c>
      <c r="E18" s="21"/>
    </row>
    <row r="19" spans="2:4" ht="12.75">
      <c r="B19" s="5" t="s">
        <v>42</v>
      </c>
      <c r="D19" s="12">
        <v>100000</v>
      </c>
    </row>
    <row r="20" ht="12.75"/>
    <row r="21" spans="2:5" ht="12.75">
      <c r="B21" s="5" t="s">
        <v>20</v>
      </c>
      <c r="D21" s="14">
        <v>0.025</v>
      </c>
      <c r="E21" s="18"/>
    </row>
    <row r="22" ht="12.75"/>
    <row r="23" spans="2:5" ht="12.75">
      <c r="B23" s="9" t="s">
        <v>45</v>
      </c>
      <c r="C23" s="9"/>
      <c r="D23" s="22">
        <f>INDEX('Retirement Model Projection'!B6:B36,D17,1)</f>
        <v>2011</v>
      </c>
      <c r="E23" s="16"/>
    </row>
    <row r="24" spans="4:5" ht="12.75">
      <c r="D24" s="16"/>
      <c r="E24" s="6"/>
    </row>
    <row r="25" spans="3:4" ht="12.75">
      <c r="C25" s="15" t="s">
        <v>15</v>
      </c>
      <c r="D25" s="16">
        <f>_XLL.SIMULATIONMEAN(INDEX('Retirement Model Projection'!$M$6:$M$36,$D$17,1))</f>
        <v>1276267.7751783386</v>
      </c>
    </row>
    <row r="26" spans="3:5" ht="12.75">
      <c r="C26" s="5" t="s">
        <v>22</v>
      </c>
      <c r="D26" s="6">
        <f>_XLL.SIMULATIONMEDIAN(INDEX('Retirement Model Projection'!$M$6:$M$36,$D$17,1))</f>
        <v>1273089.5546672891</v>
      </c>
      <c r="E26" s="8"/>
    </row>
    <row r="27" ht="12.75">
      <c r="E27" s="8"/>
    </row>
    <row r="28" spans="3:5" ht="12.75">
      <c r="C28" s="7" t="s">
        <v>16</v>
      </c>
      <c r="D28" s="8">
        <f>_XLL.SIMULATIONPERCENTILE(INDEX('Retirement Model Projection'!$M$6:$M$36,$D$17,1),5%)</f>
        <v>1087847.614556113</v>
      </c>
      <c r="E28" s="17"/>
    </row>
    <row r="29" spans="3:4" ht="12.75">
      <c r="C29" s="7" t="s">
        <v>17</v>
      </c>
      <c r="D29" s="8">
        <f>_XLL.SIMULATIONPERCENTILE(INDEX('Retirement Model Projection'!$M$6:$M$36,$D$17,1),95%)</f>
        <v>1475423.6157098308</v>
      </c>
    </row>
    <row r="30" spans="3:5" ht="12.75">
      <c r="C30" s="15" t="s">
        <v>28</v>
      </c>
      <c r="D30" s="17">
        <f>_XLL.SIMULATIONINTERVAL(INDEX('Retirement Model Projection'!$M$6:$M$36,$D$17,1),0.01)</f>
        <v>1</v>
      </c>
      <c r="E30" s="18"/>
    </row>
    <row r="31" ht="12.75">
      <c r="G31" s="5" t="s">
        <v>29</v>
      </c>
    </row>
    <row r="32" spans="2:7" ht="12.75">
      <c r="B32" s="9" t="s">
        <v>46</v>
      </c>
      <c r="C32" s="9"/>
      <c r="D32" s="9">
        <f>INDEX('Retirement Model Projection'!$B$6:$B$36,$D$17+VALUE(LEFT(B32,SEARCH("-",B32)-1)),1)</f>
        <v>2021</v>
      </c>
      <c r="E32" s="16"/>
      <c r="G32" s="5" t="s">
        <v>30</v>
      </c>
    </row>
    <row r="33" ht="12.75">
      <c r="E33" s="6"/>
    </row>
    <row r="34" spans="3:7" ht="12.75">
      <c r="C34" s="15" t="s">
        <v>15</v>
      </c>
      <c r="D34" s="16">
        <f>_XLL.SIMULATIONMEAN(INDEX('Retirement Model Projection'!$M$6:$M$36,$D$17+VALUE(LEFT(B32,SEARCH("-",B32)-1)),1))</f>
        <v>443882.3797673743</v>
      </c>
      <c r="G34" s="5" t="s">
        <v>35</v>
      </c>
    </row>
    <row r="35" spans="3:7" ht="12.75">
      <c r="C35" s="5" t="s">
        <v>22</v>
      </c>
      <c r="D35" s="6">
        <f>_XLL.SIMULATIONMEDIAN(INDEX('Retirement Model Projection'!$M$6:$M$36,$D$17+VALUE(LEFT(B32,SEARCH("-",B32)-1)),1))</f>
        <v>425427.37973987544</v>
      </c>
      <c r="E35" s="8"/>
      <c r="G35" s="5" t="s">
        <v>36</v>
      </c>
    </row>
    <row r="36" ht="12.75">
      <c r="E36" s="8"/>
    </row>
    <row r="37" spans="3:7" ht="12.75">
      <c r="C37" s="7" t="s">
        <v>16</v>
      </c>
      <c r="D37" s="8">
        <f>_XLL.SIMULATIONPERCENTILE(INDEX('Retirement Model Projection'!$M$6:$M$36,$D$17+VALUE(LEFT(B32,SEARCH("-",B32)-1)),1),5%)</f>
        <v>127691.08014971713</v>
      </c>
      <c r="E37" s="17"/>
      <c r="G37" s="5" t="s">
        <v>31</v>
      </c>
    </row>
    <row r="38" spans="3:7" ht="12.75">
      <c r="C38" s="7" t="s">
        <v>17</v>
      </c>
      <c r="D38" s="8">
        <f>_XLL.SIMULATIONPERCENTILE(INDEX('Retirement Model Projection'!$M$6:$M$36,$D$17+VALUE(LEFT(B32,SEARCH("-",B32)-1)),1),95%)</f>
        <v>815267.5101833415</v>
      </c>
      <c r="E38" s="11"/>
      <c r="G38" s="5" t="s">
        <v>33</v>
      </c>
    </row>
    <row r="39" spans="3:7" ht="12.75">
      <c r="C39" s="15" t="s">
        <v>28</v>
      </c>
      <c r="D39" s="17">
        <f>_XLL.SIMULATIONINTERVAL(INDEX('Retirement Model Projection'!$M$6:$M$36,$D$17+VALUE(LEFT(B32,SEARCH("-",B32)-1)),1),0.01)</f>
        <v>0.993</v>
      </c>
      <c r="E39" s="18"/>
      <c r="G39" s="5" t="s">
        <v>32</v>
      </c>
    </row>
    <row r="40" ht="12.75">
      <c r="D40" s="11"/>
    </row>
    <row r="41" spans="2:5" ht="12.75">
      <c r="B41" s="9" t="s">
        <v>49</v>
      </c>
      <c r="C41" s="9"/>
      <c r="D41" s="9">
        <f>INDEX('Retirement Model Projection'!$B$6:$B$36,$D$17+VALUE(LEFT(B41,SEARCH("-",B41)-1)),1)</f>
        <v>2026</v>
      </c>
      <c r="E41" s="16"/>
    </row>
    <row r="42" spans="5:14" ht="12.75">
      <c r="E42" s="6"/>
      <c r="G42" s="9" t="s">
        <v>23</v>
      </c>
      <c r="H42" s="9"/>
      <c r="I42" s="9"/>
      <c r="J42" s="9"/>
      <c r="K42" s="9"/>
      <c r="L42" s="9"/>
      <c r="M42" s="9"/>
      <c r="N42" s="9"/>
    </row>
    <row r="43" spans="3:7" ht="12.75">
      <c r="C43" s="15" t="s">
        <v>15</v>
      </c>
      <c r="D43" s="16">
        <f>_XLL.SIMULATIONMEAN(INDEX('Retirement Model Projection'!$M$6:$M$36,$D$17+VALUE(LEFT(B41,SEARCH("-",B41)-1)),1))</f>
        <v>77580.36560046405</v>
      </c>
      <c r="G43" s="5" t="s">
        <v>24</v>
      </c>
    </row>
    <row r="44" spans="3:7" ht="12.75">
      <c r="C44" s="5" t="s">
        <v>22</v>
      </c>
      <c r="D44" s="6">
        <f>_XLL.SIMULATIONMEDIAN(INDEX('Retirement Model Projection'!$M$6:$M$36,$D$17+VALUE(LEFT(B41,SEARCH("-",B41)-1)),1))</f>
        <v>0</v>
      </c>
      <c r="E44" s="8"/>
      <c r="G44" s="5" t="s">
        <v>25</v>
      </c>
    </row>
    <row r="45" spans="5:7" ht="12.75">
      <c r="E45" s="8"/>
      <c r="G45" s="5" t="s">
        <v>26</v>
      </c>
    </row>
    <row r="46" spans="3:7" ht="12.75">
      <c r="C46" s="7" t="s">
        <v>16</v>
      </c>
      <c r="D46" s="8">
        <f>_XLL.SIMULATIONPERCENTILE(INDEX('Retirement Model Projection'!$M$6:$M$36,$D$17+VALUE(LEFT(B41,SEARCH("-",B41)-1)),1),5%)</f>
        <v>0</v>
      </c>
      <c r="E46" s="17"/>
      <c r="G46" s="5" t="s">
        <v>27</v>
      </c>
    </row>
    <row r="47" spans="3:4" ht="12.75">
      <c r="C47" s="7" t="s">
        <v>17</v>
      </c>
      <c r="D47" s="8">
        <f>_XLL.SIMULATIONPERCENTILE(INDEX('Retirement Model Projection'!$M$6:$M$36,$D$17+VALUE(LEFT(B41,SEARCH("-",B41)-1)),1),95%)</f>
        <v>377716.74506150436</v>
      </c>
    </row>
    <row r="48" spans="3:4" ht="12.75">
      <c r="C48" s="15" t="s">
        <v>28</v>
      </c>
      <c r="D48" s="17">
        <f>_XLL.SIMULATIONINTERVAL(INDEX('Retirement Model Projection'!$M$6:$M$36,$D$17+VALUE(LEFT(B41,SEARCH("-",B41)-1)),1),0.01)</f>
        <v>0.4046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5"/>
  <sheetViews>
    <sheetView workbookViewId="0" topLeftCell="A4">
      <selection activeCell="B48" sqref="B48"/>
    </sheetView>
  </sheetViews>
  <sheetFormatPr defaultColWidth="9.140625" defaultRowHeight="12.75"/>
  <cols>
    <col min="1" max="1" width="3.28125" style="0" customWidth="1"/>
    <col min="3" max="3" width="15.8515625" style="0" customWidth="1"/>
    <col min="4" max="4" width="11.7109375" style="0" customWidth="1"/>
    <col min="5" max="6" width="15.8515625" style="0" customWidth="1"/>
    <col min="7" max="7" width="15.57421875" style="0" customWidth="1"/>
    <col min="8" max="8" width="15.00390625" style="0" customWidth="1"/>
    <col min="9" max="9" width="16.8515625" style="0" customWidth="1"/>
    <col min="10" max="12" width="15.140625" style="0" customWidth="1"/>
    <col min="13" max="13" width="15.7109375" style="0" customWidth="1"/>
  </cols>
  <sheetData>
    <row r="2" ht="12.75">
      <c r="C2" t="s">
        <v>37</v>
      </c>
    </row>
    <row r="3" ht="12.75">
      <c r="C3" t="s">
        <v>38</v>
      </c>
    </row>
    <row r="5" spans="2:13" ht="12.75">
      <c r="B5" s="4" t="s">
        <v>3</v>
      </c>
      <c r="C5" s="4" t="s">
        <v>11</v>
      </c>
      <c r="D5" s="4" t="s">
        <v>14</v>
      </c>
      <c r="E5" s="4" t="s">
        <v>7</v>
      </c>
      <c r="F5" s="4" t="s">
        <v>12</v>
      </c>
      <c r="G5" s="4" t="s">
        <v>8</v>
      </c>
      <c r="H5" s="4" t="s">
        <v>10</v>
      </c>
      <c r="I5" s="4" t="s">
        <v>19</v>
      </c>
      <c r="J5" s="4" t="s">
        <v>21</v>
      </c>
      <c r="K5" s="4" t="s">
        <v>44</v>
      </c>
      <c r="L5" s="4" t="s">
        <v>9</v>
      </c>
      <c r="M5" s="4" t="s">
        <v>13</v>
      </c>
    </row>
    <row r="6" spans="2:13" ht="12.75">
      <c r="B6">
        <v>2007</v>
      </c>
      <c r="C6" s="1">
        <f>'Portfolio Model'!D10</f>
        <v>600000</v>
      </c>
      <c r="D6" s="3">
        <f>_XLL.NORMALVALUE('Portfolio Model'!$D$8,'Portfolio Model'!$D$9)</f>
        <v>0.05399819162712538</v>
      </c>
      <c r="E6" s="2">
        <f>C6*D6</f>
        <v>32398.914976275228</v>
      </c>
      <c r="F6" s="1">
        <f>'Portfolio Model'!D15</f>
        <v>400000</v>
      </c>
      <c r="G6" s="2">
        <f>F6*'Portfolio Model'!$D$14</f>
        <v>12000</v>
      </c>
      <c r="H6" s="2">
        <f>G6+E6</f>
        <v>44398.91497627523</v>
      </c>
      <c r="I6" s="1">
        <f>H6+C6+F6</f>
        <v>1044398.9149762752</v>
      </c>
      <c r="J6" s="1">
        <f>-MIN(I6*'Portfolio Model'!$D$21,I6)</f>
        <v>-26109.97287440688</v>
      </c>
      <c r="K6" s="1">
        <f>IF(COUNT(B$6:B6)&lt;='Portfolio Model'!$D$17,'Portfolio Model'!$D$18,0)</f>
        <v>35000</v>
      </c>
      <c r="L6" s="1">
        <f>IF(K6&gt;0,0,-MIN('Portfolio Model'!$D$19,('Retirement Model Projection'!I6+'Retirement Model Projection'!J6)))</f>
        <v>0</v>
      </c>
      <c r="M6" s="1">
        <f>MAX(SUM(I6:L6),0)</f>
        <v>1053288.9421018683</v>
      </c>
    </row>
    <row r="7" spans="2:13" ht="12.75">
      <c r="B7">
        <f>B6+1</f>
        <v>2008</v>
      </c>
      <c r="C7" s="2">
        <f>M6*'Portfolio Model'!$D$7</f>
        <v>631973.365261121</v>
      </c>
      <c r="D7" s="3">
        <f>_XLL.NORMALVALUE('Portfolio Model'!$D$8,'Portfolio Model'!$D$9)</f>
        <v>0.05399871198171999</v>
      </c>
      <c r="E7" s="2">
        <f>C7*D7</f>
        <v>34125.747730853596</v>
      </c>
      <c r="F7" s="2">
        <f>M6*'Portfolio Model'!$D$13</f>
        <v>421315.5768407474</v>
      </c>
      <c r="G7" s="2">
        <f>F7*'Portfolio Model'!$D$14</f>
        <v>12639.46730522242</v>
      </c>
      <c r="H7" s="2">
        <f>G7+E7</f>
        <v>46765.21503607601</v>
      </c>
      <c r="I7" s="1">
        <f aca="true" t="shared" si="0" ref="I7:I35">H7+C7+F7</f>
        <v>1100054.1571379444</v>
      </c>
      <c r="J7" s="1">
        <f>-MIN(I7*'Portfolio Model'!$D$21,I7)</f>
        <v>-27501.35392844861</v>
      </c>
      <c r="K7" s="1">
        <f>IF(COUNT(B$6:B7)&lt;='Portfolio Model'!$D$17,'Portfolio Model'!$D$18,0)</f>
        <v>35000</v>
      </c>
      <c r="L7" s="1">
        <f>IF(K7&gt;0,0,-MIN('Portfolio Model'!$D$19,('Retirement Model Projection'!I7+'Retirement Model Projection'!J7)))</f>
        <v>0</v>
      </c>
      <c r="M7" s="1">
        <f aca="true" t="shared" si="1" ref="M7:M35">MAX(SUM(I7:L7),0)</f>
        <v>1107552.8032094957</v>
      </c>
    </row>
    <row r="8" spans="2:13" ht="12.75">
      <c r="B8">
        <f aca="true" t="shared" si="2" ref="B8:B25">B7+1</f>
        <v>2009</v>
      </c>
      <c r="C8" s="2">
        <f>M7*'Portfolio Model'!$D$7</f>
        <v>664531.6819256974</v>
      </c>
      <c r="D8" s="3">
        <f>_XLL.NORMALVALUE('Portfolio Model'!$D$8,'Portfolio Model'!$D$9)</f>
        <v>0.053990553538116964</v>
      </c>
      <c r="E8" s="2">
        <f aca="true" t="shared" si="3" ref="E8:E25">C8*D8</f>
        <v>35878.433350784275</v>
      </c>
      <c r="F8" s="2">
        <f>M7*'Portfolio Model'!$D$13</f>
        <v>443021.1212837983</v>
      </c>
      <c r="G8" s="2">
        <f>F8*'Portfolio Model'!$D$14</f>
        <v>13290.63363851395</v>
      </c>
      <c r="H8" s="2">
        <f aca="true" t="shared" si="4" ref="H8:H25">G8+E8</f>
        <v>49169.066989298226</v>
      </c>
      <c r="I8" s="1">
        <f t="shared" si="0"/>
        <v>1156721.870198794</v>
      </c>
      <c r="J8" s="1">
        <f>-MIN(I8*'Portfolio Model'!$D$21,I8)</f>
        <v>-28918.04675496985</v>
      </c>
      <c r="K8" s="1">
        <f>IF(COUNT(B$6:B8)&lt;='Portfolio Model'!$D$17,'Portfolio Model'!$D$18,0)</f>
        <v>35000</v>
      </c>
      <c r="L8" s="1">
        <f>IF(K8&gt;0,0,-MIN('Portfolio Model'!$D$19,('Retirement Model Projection'!I8+'Retirement Model Projection'!J8)))</f>
        <v>0</v>
      </c>
      <c r="M8" s="1">
        <f t="shared" si="1"/>
        <v>1162803.8234438242</v>
      </c>
    </row>
    <row r="9" spans="2:13" ht="12.75">
      <c r="B9">
        <f t="shared" si="2"/>
        <v>2010</v>
      </c>
      <c r="C9" s="2">
        <f>M8*'Portfolio Model'!$D$7</f>
        <v>697682.2940662944</v>
      </c>
      <c r="D9" s="3">
        <f>_XLL.NORMALVALUE('Portfolio Model'!$D$8,'Portfolio Model'!$D$9)</f>
        <v>0.053997712477929415</v>
      </c>
      <c r="E9" s="2">
        <f t="shared" si="3"/>
        <v>37673.247915933964</v>
      </c>
      <c r="F9" s="2">
        <f>M8*'Portfolio Model'!$D$13</f>
        <v>465121.5293775297</v>
      </c>
      <c r="G9" s="2">
        <f>F9*'Portfolio Model'!$D$14</f>
        <v>13953.64588132589</v>
      </c>
      <c r="H9" s="2">
        <f t="shared" si="4"/>
        <v>51626.89379725985</v>
      </c>
      <c r="I9" s="1">
        <f t="shared" si="0"/>
        <v>1214430.717241084</v>
      </c>
      <c r="J9" s="1">
        <f>-MIN(I9*'Portfolio Model'!$D$21,I9)</f>
        <v>-30360.7679310271</v>
      </c>
      <c r="K9" s="1">
        <f>IF(COUNT(B$6:B9)&lt;='Portfolio Model'!$D$17,'Portfolio Model'!$D$18,0)</f>
        <v>35000</v>
      </c>
      <c r="L9" s="1">
        <f>IF(K9&gt;0,0,-MIN('Portfolio Model'!$D$19,('Retirement Model Projection'!I9+'Retirement Model Projection'!J9)))</f>
        <v>0</v>
      </c>
      <c r="M9" s="1">
        <f t="shared" si="1"/>
        <v>1219069.9493100569</v>
      </c>
    </row>
    <row r="10" spans="2:13" ht="12.75">
      <c r="B10">
        <f t="shared" si="2"/>
        <v>2011</v>
      </c>
      <c r="C10" s="2">
        <f>M9*'Portfolio Model'!$D$7</f>
        <v>731441.9695860341</v>
      </c>
      <c r="D10" s="3">
        <f>_XLL.NORMALVALUE('Portfolio Model'!$D$8,'Portfolio Model'!$D$9)</f>
        <v>0.05399974121822745</v>
      </c>
      <c r="E10" s="2">
        <f t="shared" si="3"/>
        <v>39497.67707379643</v>
      </c>
      <c r="F10" s="2">
        <f>M9*'Portfolio Model'!$D$13</f>
        <v>487627.9797240228</v>
      </c>
      <c r="G10" s="2">
        <f>F10*'Portfolio Model'!$D$14</f>
        <v>14628.839391720683</v>
      </c>
      <c r="H10" s="2">
        <f t="shared" si="4"/>
        <v>54126.51646551712</v>
      </c>
      <c r="I10" s="1">
        <f t="shared" si="0"/>
        <v>1273196.465775574</v>
      </c>
      <c r="J10" s="1">
        <f>-MIN(I10*'Portfolio Model'!$D$21,I10)</f>
        <v>-31829.911644389354</v>
      </c>
      <c r="K10" s="1">
        <f>IF(COUNT(B$6:B10)&lt;='Portfolio Model'!$D$17,'Portfolio Model'!$D$18,0)</f>
        <v>35000</v>
      </c>
      <c r="L10" s="1">
        <f>IF(K10&gt;0,0,-MIN('Portfolio Model'!$D$19,('Retirement Model Projection'!I10+'Retirement Model Projection'!J10)))</f>
        <v>0</v>
      </c>
      <c r="M10" s="1">
        <f t="shared" si="1"/>
        <v>1276366.5541311847</v>
      </c>
    </row>
    <row r="11" spans="2:13" ht="12.75">
      <c r="B11">
        <f t="shared" si="2"/>
        <v>2012</v>
      </c>
      <c r="C11" s="2">
        <f>M10*'Portfolio Model'!$D$7</f>
        <v>765819.9324787108</v>
      </c>
      <c r="D11" s="3">
        <f>_XLL.NORMALVALUE('Portfolio Model'!$D$8,'Portfolio Model'!$D$9)</f>
        <v>0.05400820609055984</v>
      </c>
      <c r="E11" s="2">
        <f t="shared" si="3"/>
        <v>41360.560741568836</v>
      </c>
      <c r="F11" s="2">
        <f>M10*'Portfolio Model'!$D$13</f>
        <v>510546.6216524739</v>
      </c>
      <c r="G11" s="2">
        <f>F11*'Portfolio Model'!$D$14</f>
        <v>15316.398649574217</v>
      </c>
      <c r="H11" s="2">
        <f t="shared" si="4"/>
        <v>56676.95939114306</v>
      </c>
      <c r="I11" s="1">
        <f t="shared" si="0"/>
        <v>1333043.5135223279</v>
      </c>
      <c r="J11" s="1">
        <f>-MIN(I11*'Portfolio Model'!$D$21,I11)</f>
        <v>-33326.0878380582</v>
      </c>
      <c r="K11" s="1">
        <f>IF(COUNT(B$6:B11)&lt;='Portfolio Model'!$D$17,'Portfolio Model'!$D$18,0)</f>
        <v>0</v>
      </c>
      <c r="L11" s="1">
        <f>IF(K11&gt;0,0,-MIN('Portfolio Model'!$D$19,('Retirement Model Projection'!I11+'Retirement Model Projection'!J11)))</f>
        <v>-100000</v>
      </c>
      <c r="M11" s="1">
        <f t="shared" si="1"/>
        <v>1199717.4256842698</v>
      </c>
    </row>
    <row r="12" spans="2:13" ht="12.75">
      <c r="B12">
        <f t="shared" si="2"/>
        <v>2013</v>
      </c>
      <c r="C12" s="2">
        <f>M11*'Portfolio Model'!$D$7</f>
        <v>719830.4554105619</v>
      </c>
      <c r="D12" s="3">
        <f>_XLL.NORMALVALUE('Portfolio Model'!$D$8,'Portfolio Model'!$D$9)</f>
        <v>0.05399880385522831</v>
      </c>
      <c r="E12" s="2">
        <f t="shared" si="3"/>
        <v>38869.9835707346</v>
      </c>
      <c r="F12" s="2">
        <f>M11*'Portfolio Model'!$D$13</f>
        <v>479886.97027370794</v>
      </c>
      <c r="G12" s="2">
        <f>F12*'Portfolio Model'!$D$14</f>
        <v>14396.609108211238</v>
      </c>
      <c r="H12" s="2">
        <f t="shared" si="4"/>
        <v>53266.59267894584</v>
      </c>
      <c r="I12" s="1">
        <f t="shared" si="0"/>
        <v>1252984.0183632157</v>
      </c>
      <c r="J12" s="1">
        <f>-MIN(I12*'Portfolio Model'!$D$21,I12)</f>
        <v>-31324.600459080393</v>
      </c>
      <c r="K12" s="1">
        <f>IF(COUNT(B$6:B12)&lt;='Portfolio Model'!$D$17,'Portfolio Model'!$D$18,0)</f>
        <v>0</v>
      </c>
      <c r="L12" s="1">
        <f>IF(K12&gt;0,0,-MIN('Portfolio Model'!$D$19,('Retirement Model Projection'!I12+'Retirement Model Projection'!J12)))</f>
        <v>-100000</v>
      </c>
      <c r="M12" s="1">
        <f t="shared" si="1"/>
        <v>1121659.4179041353</v>
      </c>
    </row>
    <row r="13" spans="2:13" ht="12.75">
      <c r="B13">
        <f t="shared" si="2"/>
        <v>2014</v>
      </c>
      <c r="C13" s="2">
        <f>M12*'Portfolio Model'!$D$7</f>
        <v>672995.6507424811</v>
      </c>
      <c r="D13" s="3">
        <f>_XLL.NORMALVALUE('Portfolio Model'!$D$8,'Portfolio Model'!$D$9)</f>
        <v>0.053996172011125894</v>
      </c>
      <c r="E13" s="2">
        <f t="shared" si="3"/>
        <v>36339.18892023062</v>
      </c>
      <c r="F13" s="2">
        <f>M12*'Portfolio Model'!$D$13</f>
        <v>448663.76716165413</v>
      </c>
      <c r="G13" s="2">
        <f>F13*'Portfolio Model'!$D$14</f>
        <v>13459.913014849624</v>
      </c>
      <c r="H13" s="2">
        <f t="shared" si="4"/>
        <v>49799.101935080245</v>
      </c>
      <c r="I13" s="1">
        <f t="shared" si="0"/>
        <v>1171458.5198392156</v>
      </c>
      <c r="J13" s="1">
        <f>-MIN(I13*'Portfolio Model'!$D$21,I13)</f>
        <v>-29286.46299598039</v>
      </c>
      <c r="K13" s="1">
        <f>IF(COUNT(B$6:B13)&lt;='Portfolio Model'!$D$17,'Portfolio Model'!$D$18,0)</f>
        <v>0</v>
      </c>
      <c r="L13" s="1">
        <f>IF(K13&gt;0,0,-MIN('Portfolio Model'!$D$19,('Retirement Model Projection'!I13+'Retirement Model Projection'!J13)))</f>
        <v>-100000</v>
      </c>
      <c r="M13" s="1">
        <f t="shared" si="1"/>
        <v>1042172.0568432352</v>
      </c>
    </row>
    <row r="14" spans="2:13" ht="12.75">
      <c r="B14">
        <f t="shared" si="2"/>
        <v>2015</v>
      </c>
      <c r="C14" s="2">
        <f>M13*'Portfolio Model'!$D$7</f>
        <v>625303.234105941</v>
      </c>
      <c r="D14" s="3">
        <f>_XLL.NORMALVALUE('Portfolio Model'!$D$8,'Portfolio Model'!$D$9)</f>
        <v>0.053997025223434136</v>
      </c>
      <c r="E14" s="2">
        <f t="shared" si="3"/>
        <v>33764.51450431344</v>
      </c>
      <c r="F14" s="2">
        <f>M13*'Portfolio Model'!$D$13</f>
        <v>416868.8227372941</v>
      </c>
      <c r="G14" s="2">
        <f>F14*'Portfolio Model'!$D$14</f>
        <v>12506.064682118822</v>
      </c>
      <c r="H14" s="2">
        <f t="shared" si="4"/>
        <v>46270.57918643226</v>
      </c>
      <c r="I14" s="1">
        <f t="shared" si="0"/>
        <v>1088442.6360296675</v>
      </c>
      <c r="J14" s="1">
        <f>-MIN(I14*'Portfolio Model'!$D$21,I14)</f>
        <v>-27211.065900741687</v>
      </c>
      <c r="K14" s="1">
        <f>IF(COUNT(B$6:B14)&lt;='Portfolio Model'!$D$17,'Portfolio Model'!$D$18,0)</f>
        <v>0</v>
      </c>
      <c r="L14" s="1">
        <f>IF(K14&gt;0,0,-MIN('Portfolio Model'!$D$19,('Retirement Model Projection'!I14+'Retirement Model Projection'!J14)))</f>
        <v>-100000</v>
      </c>
      <c r="M14" s="1">
        <f t="shared" si="1"/>
        <v>961231.5701289258</v>
      </c>
    </row>
    <row r="15" spans="2:13" ht="12.75">
      <c r="B15">
        <f t="shared" si="2"/>
        <v>2016</v>
      </c>
      <c r="C15" s="2">
        <f>M14*'Portfolio Model'!$D$7</f>
        <v>576738.9420773555</v>
      </c>
      <c r="D15" s="3">
        <f>_XLL.NORMALVALUE('Portfolio Model'!$D$8,'Portfolio Model'!$D$9)</f>
        <v>0.05400252402773072</v>
      </c>
      <c r="E15" s="2">
        <f t="shared" si="3"/>
        <v>31145.358577260384</v>
      </c>
      <c r="F15" s="2">
        <f>M14*'Portfolio Model'!$D$13</f>
        <v>384492.6280515704</v>
      </c>
      <c r="G15" s="2">
        <f>F15*'Portfolio Model'!$D$14</f>
        <v>11534.778841547111</v>
      </c>
      <c r="H15" s="2">
        <f t="shared" si="4"/>
        <v>42680.1374188075</v>
      </c>
      <c r="I15" s="1">
        <f t="shared" si="0"/>
        <v>1003911.7075477333</v>
      </c>
      <c r="J15" s="1">
        <f>-MIN(I15*'Portfolio Model'!$D$21,I15)</f>
        <v>-25097.792688693335</v>
      </c>
      <c r="K15" s="1">
        <f>IF(COUNT(B$6:B15)&lt;='Portfolio Model'!$D$17,'Portfolio Model'!$D$18,0)</f>
        <v>0</v>
      </c>
      <c r="L15" s="1">
        <f>IF(K15&gt;0,0,-MIN('Portfolio Model'!$D$19,('Retirement Model Projection'!I15+'Retirement Model Projection'!J15)))</f>
        <v>-100000</v>
      </c>
      <c r="M15" s="1">
        <f t="shared" si="1"/>
        <v>878813.91485904</v>
      </c>
    </row>
    <row r="16" spans="2:13" ht="12.75">
      <c r="B16">
        <f t="shared" si="2"/>
        <v>2017</v>
      </c>
      <c r="C16" s="2">
        <f>M15*'Portfolio Model'!$D$7</f>
        <v>527288.348915424</v>
      </c>
      <c r="D16" s="3">
        <f>_XLL.NORMALVALUE('Portfolio Model'!$D$8,'Portfolio Model'!$D$9)</f>
        <v>0.053993570933138446</v>
      </c>
      <c r="E16" s="2">
        <f t="shared" si="3"/>
        <v>28470.1808693824</v>
      </c>
      <c r="F16" s="2">
        <f>M15*'Portfolio Model'!$D$13</f>
        <v>351525.565943616</v>
      </c>
      <c r="G16" s="2">
        <f>F16*'Portfolio Model'!$D$14</f>
        <v>10545.766978308478</v>
      </c>
      <c r="H16" s="2">
        <f t="shared" si="4"/>
        <v>39015.94784769088</v>
      </c>
      <c r="I16" s="1">
        <f t="shared" si="0"/>
        <v>917829.8627067308</v>
      </c>
      <c r="J16" s="1">
        <f>-MIN(I16*'Portfolio Model'!$D$21,I16)</f>
        <v>-22945.746567668273</v>
      </c>
      <c r="K16" s="1">
        <f>IF(COUNT(B$6:B16)&lt;='Portfolio Model'!$D$17,'Portfolio Model'!$D$18,0)</f>
        <v>0</v>
      </c>
      <c r="L16" s="1">
        <f>IF(K16&gt;0,0,-MIN('Portfolio Model'!$D$19,('Retirement Model Projection'!I16+'Retirement Model Projection'!J16)))</f>
        <v>-100000</v>
      </c>
      <c r="M16" s="1">
        <f t="shared" si="1"/>
        <v>794884.1161390626</v>
      </c>
    </row>
    <row r="17" spans="2:13" ht="12.75">
      <c r="B17">
        <f t="shared" si="2"/>
        <v>2018</v>
      </c>
      <c r="C17" s="2">
        <f>M16*'Portfolio Model'!$D$7</f>
        <v>476930.4696834375</v>
      </c>
      <c r="D17" s="3">
        <f>_XLL.NORMALVALUE('Portfolio Model'!$D$8,'Portfolio Model'!$D$9)</f>
        <v>0.05400299947832395</v>
      </c>
      <c r="E17" s="2">
        <f t="shared" si="3"/>
        <v>25755.675905511474</v>
      </c>
      <c r="F17" s="2">
        <f>M16*'Portfolio Model'!$D$13</f>
        <v>317953.6464556251</v>
      </c>
      <c r="G17" s="2">
        <f>F17*'Portfolio Model'!$D$14</f>
        <v>9538.609393668752</v>
      </c>
      <c r="H17" s="2">
        <f t="shared" si="4"/>
        <v>35294.28529918023</v>
      </c>
      <c r="I17" s="1">
        <f t="shared" si="0"/>
        <v>830178.4014382428</v>
      </c>
      <c r="J17" s="1">
        <f>-MIN(I17*'Portfolio Model'!$D$21,I17)</f>
        <v>-20754.46003595607</v>
      </c>
      <c r="K17" s="1">
        <f>IF(COUNT(B$6:B17)&lt;='Portfolio Model'!$D$17,'Portfolio Model'!$D$18,0)</f>
        <v>0</v>
      </c>
      <c r="L17" s="1">
        <f>IF(K17&gt;0,0,-MIN('Portfolio Model'!$D$19,('Retirement Model Projection'!I17+'Retirement Model Projection'!J17)))</f>
        <v>-100000</v>
      </c>
      <c r="M17" s="1">
        <f t="shared" si="1"/>
        <v>709423.9414022866</v>
      </c>
    </row>
    <row r="18" spans="2:13" ht="12.75">
      <c r="B18">
        <f t="shared" si="2"/>
        <v>2019</v>
      </c>
      <c r="C18" s="2">
        <f>M17*'Portfolio Model'!$D$7</f>
        <v>425654.36484137195</v>
      </c>
      <c r="D18" s="3">
        <f>_XLL.NORMALVALUE('Portfolio Model'!$D$8,'Portfolio Model'!$D$9)</f>
        <v>0.053998797974860624</v>
      </c>
      <c r="E18" s="2">
        <f t="shared" si="3"/>
        <v>22984.82405418686</v>
      </c>
      <c r="F18" s="2">
        <f>M17*'Portfolio Model'!$D$13</f>
        <v>283769.5765609147</v>
      </c>
      <c r="G18" s="2">
        <f>F18*'Portfolio Model'!$D$14</f>
        <v>8513.08729682744</v>
      </c>
      <c r="H18" s="2">
        <f t="shared" si="4"/>
        <v>31497.9113510143</v>
      </c>
      <c r="I18" s="1">
        <f t="shared" si="0"/>
        <v>740921.8527533009</v>
      </c>
      <c r="J18" s="1">
        <f>-MIN(I18*'Portfolio Model'!$D$21,I18)</f>
        <v>-18523.046318832523</v>
      </c>
      <c r="K18" s="1">
        <f>IF(COUNT(B$6:B18)&lt;='Portfolio Model'!$D$17,'Portfolio Model'!$D$18,0)</f>
        <v>0</v>
      </c>
      <c r="L18" s="1">
        <f>IF(K18&gt;0,0,-MIN('Portfolio Model'!$D$19,('Retirement Model Projection'!I18+'Retirement Model Projection'!J18)))</f>
        <v>-100000</v>
      </c>
      <c r="M18" s="1">
        <f t="shared" si="1"/>
        <v>622398.8064344684</v>
      </c>
    </row>
    <row r="19" spans="2:13" ht="12.75">
      <c r="B19">
        <f t="shared" si="2"/>
        <v>2020</v>
      </c>
      <c r="C19" s="2">
        <f>M18*'Portfolio Model'!$D$7</f>
        <v>373439.283860681</v>
      </c>
      <c r="D19" s="3">
        <f>_XLL.NORMALVALUE('Portfolio Model'!$D$8,'Portfolio Model'!$D$9)</f>
        <v>0.05399365471855057</v>
      </c>
      <c r="E19" s="2">
        <f t="shared" si="3"/>
        <v>20163.351751116403</v>
      </c>
      <c r="F19" s="2">
        <f>M18*'Portfolio Model'!$D$13</f>
        <v>248959.52257378737</v>
      </c>
      <c r="G19" s="2">
        <f>F19*'Portfolio Model'!$D$14</f>
        <v>7468.785677213621</v>
      </c>
      <c r="H19" s="2">
        <f t="shared" si="4"/>
        <v>27632.137428330025</v>
      </c>
      <c r="I19" s="1">
        <f t="shared" si="0"/>
        <v>650030.9438627984</v>
      </c>
      <c r="J19" s="1">
        <f>-MIN(I19*'Portfolio Model'!$D$21,I19)</f>
        <v>-16250.773596569961</v>
      </c>
      <c r="K19" s="1">
        <f>IF(COUNT(B$6:B19)&lt;='Portfolio Model'!$D$17,'Portfolio Model'!$D$18,0)</f>
        <v>0</v>
      </c>
      <c r="L19" s="1">
        <f>IF(K19&gt;0,0,-MIN('Portfolio Model'!$D$19,('Retirement Model Projection'!I19+'Retirement Model Projection'!J19)))</f>
        <v>-100000</v>
      </c>
      <c r="M19" s="1">
        <f t="shared" si="1"/>
        <v>533780.1702662284</v>
      </c>
    </row>
    <row r="20" spans="2:13" ht="12.75">
      <c r="B20">
        <f t="shared" si="2"/>
        <v>2021</v>
      </c>
      <c r="C20" s="2">
        <f>M19*'Portfolio Model'!$D$7</f>
        <v>320268.102159737</v>
      </c>
      <c r="D20" s="3">
        <f>_XLL.NORMALVALUE('Portfolio Model'!$D$8,'Portfolio Model'!$D$9)</f>
        <v>0.05399088822499007</v>
      </c>
      <c r="E20" s="2">
        <f t="shared" si="3"/>
        <v>17291.559305736064</v>
      </c>
      <c r="F20" s="2">
        <f>M19*'Portfolio Model'!$D$13</f>
        <v>213512.06810649135</v>
      </c>
      <c r="G20" s="2">
        <f>F20*'Portfolio Model'!$D$14</f>
        <v>6405.36204319474</v>
      </c>
      <c r="H20" s="2">
        <f t="shared" si="4"/>
        <v>23696.921348930802</v>
      </c>
      <c r="I20" s="1">
        <f t="shared" si="0"/>
        <v>557477.0916151592</v>
      </c>
      <c r="J20" s="1">
        <f>-MIN(I20*'Portfolio Model'!$D$21,I20)</f>
        <v>-13936.92729037898</v>
      </c>
      <c r="K20" s="1">
        <f>IF(COUNT(B$6:B20)&lt;='Portfolio Model'!$D$17,'Portfolio Model'!$D$18,0)</f>
        <v>0</v>
      </c>
      <c r="L20" s="1">
        <f>IF(K20&gt;0,0,-MIN('Portfolio Model'!$D$19,('Retirement Model Projection'!I20+'Retirement Model Projection'!J20)))</f>
        <v>-100000</v>
      </c>
      <c r="M20" s="1">
        <f t="shared" si="1"/>
        <v>443540.1643247802</v>
      </c>
    </row>
    <row r="21" spans="2:13" ht="12.75">
      <c r="B21">
        <f t="shared" si="2"/>
        <v>2022</v>
      </c>
      <c r="C21" s="2">
        <f>M20*'Portfolio Model'!$D$7</f>
        <v>266124.09859486815</v>
      </c>
      <c r="D21" s="3">
        <f>_XLL.NORMALVALUE('Portfolio Model'!$D$8,'Portfolio Model'!$D$9)</f>
        <v>0.05400339170593699</v>
      </c>
      <c r="E21" s="2">
        <f t="shared" si="3"/>
        <v>14371.603938808059</v>
      </c>
      <c r="F21" s="2">
        <f>M20*'Portfolio Model'!$D$13</f>
        <v>177416.0657299121</v>
      </c>
      <c r="G21" s="2">
        <f>F21*'Portfolio Model'!$D$14</f>
        <v>5322.481971897363</v>
      </c>
      <c r="H21" s="2">
        <f t="shared" si="4"/>
        <v>19694.08591070542</v>
      </c>
      <c r="I21" s="1">
        <f t="shared" si="0"/>
        <v>463234.2502354857</v>
      </c>
      <c r="J21" s="1">
        <f>-MIN(I21*'Portfolio Model'!$D$21,I21)</f>
        <v>-11580.856255887144</v>
      </c>
      <c r="K21" s="1">
        <f>IF(COUNT(B$6:B21)&lt;='Portfolio Model'!$D$17,'Portfolio Model'!$D$18,0)</f>
        <v>0</v>
      </c>
      <c r="L21" s="1">
        <f>IF(K21&gt;0,0,-MIN('Portfolio Model'!$D$19,('Retirement Model Projection'!I21+'Retirement Model Projection'!J21)))</f>
        <v>-100000</v>
      </c>
      <c r="M21" s="1">
        <f t="shared" si="1"/>
        <v>351653.3939795986</v>
      </c>
    </row>
    <row r="22" spans="2:13" ht="12.75">
      <c r="B22">
        <f t="shared" si="2"/>
        <v>2023</v>
      </c>
      <c r="C22" s="2">
        <f>M21*'Portfolio Model'!$D$7</f>
        <v>210992.03638775914</v>
      </c>
      <c r="D22" s="3">
        <f>_XLL.NORMALVALUE('Portfolio Model'!$D$8,'Portfolio Model'!$D$9)</f>
        <v>0.05399653887882432</v>
      </c>
      <c r="E22" s="2">
        <f t="shared" si="3"/>
        <v>11392.839695933953</v>
      </c>
      <c r="F22" s="2">
        <f>M21*'Portfolio Model'!$D$13</f>
        <v>140661.35759183945</v>
      </c>
      <c r="G22" s="2">
        <f>F22*'Portfolio Model'!$D$14</f>
        <v>4219.840727755183</v>
      </c>
      <c r="H22" s="2">
        <f t="shared" si="4"/>
        <v>15612.680423689137</v>
      </c>
      <c r="I22" s="1">
        <f t="shared" si="0"/>
        <v>367266.0744032877</v>
      </c>
      <c r="J22" s="1">
        <f>-MIN(I22*'Portfolio Model'!$D$21,I22)</f>
        <v>-9181.651860082193</v>
      </c>
      <c r="K22" s="1">
        <f>IF(COUNT(B$6:B22)&lt;='Portfolio Model'!$D$17,'Portfolio Model'!$D$18,0)</f>
        <v>0</v>
      </c>
      <c r="L22" s="1">
        <f>IF(K22&gt;0,0,-MIN('Portfolio Model'!$D$19,('Retirement Model Projection'!I22+'Retirement Model Projection'!J22)))</f>
        <v>-100000</v>
      </c>
      <c r="M22" s="1">
        <f t="shared" si="1"/>
        <v>258084.42254320555</v>
      </c>
    </row>
    <row r="23" spans="2:13" ht="12.75">
      <c r="B23">
        <f t="shared" si="2"/>
        <v>2024</v>
      </c>
      <c r="C23" s="2">
        <f>M22*'Portfolio Model'!$D$7</f>
        <v>154850.65352592332</v>
      </c>
      <c r="D23" s="3">
        <f>_XLL.NORMALVALUE('Portfolio Model'!$D$8,'Portfolio Model'!$D$9)</f>
        <v>0.05399944466226966</v>
      </c>
      <c r="E23" s="2">
        <f t="shared" si="3"/>
        <v>8361.849295989388</v>
      </c>
      <c r="F23" s="2">
        <f>M22*'Portfolio Model'!$D$13</f>
        <v>103233.76901728223</v>
      </c>
      <c r="G23" s="2">
        <f>F23*'Portfolio Model'!$D$14</f>
        <v>3097.013070518467</v>
      </c>
      <c r="H23" s="2">
        <f t="shared" si="4"/>
        <v>11458.862366507856</v>
      </c>
      <c r="I23" s="1">
        <f t="shared" si="0"/>
        <v>269543.28490971343</v>
      </c>
      <c r="J23" s="1">
        <f>-MIN(I23*'Portfolio Model'!$D$21,I23)</f>
        <v>-6738.582122742836</v>
      </c>
      <c r="K23" s="1">
        <f>IF(COUNT(B$6:B23)&lt;='Portfolio Model'!$D$17,'Portfolio Model'!$D$18,0)</f>
        <v>0</v>
      </c>
      <c r="L23" s="1">
        <f>IF(K23&gt;0,0,-MIN('Portfolio Model'!$D$19,('Retirement Model Projection'!I23+'Retirement Model Projection'!J23)))</f>
        <v>-100000</v>
      </c>
      <c r="M23" s="1">
        <f t="shared" si="1"/>
        <v>162804.7027869706</v>
      </c>
    </row>
    <row r="24" spans="2:13" ht="12.75">
      <c r="B24">
        <f t="shared" si="2"/>
        <v>2025</v>
      </c>
      <c r="C24" s="2">
        <f>M23*'Portfolio Model'!$D$7</f>
        <v>97682.82167218236</v>
      </c>
      <c r="D24" s="3">
        <f>_XLL.NORMALVALUE('Portfolio Model'!$D$8,'Portfolio Model'!$D$9)</f>
        <v>0.054003680452909666</v>
      </c>
      <c r="E24" s="2">
        <f t="shared" si="3"/>
        <v>5275.231887323095</v>
      </c>
      <c r="F24" s="2">
        <f>M23*'Portfolio Model'!$D$13</f>
        <v>65121.88111478824</v>
      </c>
      <c r="G24" s="2">
        <f>F24*'Portfolio Model'!$D$14</f>
        <v>1953.656433443647</v>
      </c>
      <c r="H24" s="2">
        <f t="shared" si="4"/>
        <v>7228.888320766742</v>
      </c>
      <c r="I24" s="1">
        <f t="shared" si="0"/>
        <v>170033.59110773733</v>
      </c>
      <c r="J24" s="1">
        <f>-MIN(I24*'Portfolio Model'!$D$21,I24)</f>
        <v>-4250.8397776934335</v>
      </c>
      <c r="K24" s="1">
        <f>IF(COUNT(B$6:B24)&lt;='Portfolio Model'!$D$17,'Portfolio Model'!$D$18,0)</f>
        <v>0</v>
      </c>
      <c r="L24" s="1">
        <f>IF(K24&gt;0,0,-MIN('Portfolio Model'!$D$19,('Retirement Model Projection'!I24+'Retirement Model Projection'!J24)))</f>
        <v>-100000</v>
      </c>
      <c r="M24" s="1">
        <f t="shared" si="1"/>
        <v>65782.75133004389</v>
      </c>
    </row>
    <row r="25" spans="2:13" ht="12.75">
      <c r="B25">
        <f t="shared" si="2"/>
        <v>2026</v>
      </c>
      <c r="C25" s="2">
        <f>M24*'Portfolio Model'!$D$7</f>
        <v>39469.650798026334</v>
      </c>
      <c r="D25" s="3">
        <f>_XLL.NORMALVALUE('Portfolio Model'!$D$8,'Portfolio Model'!$D$9)</f>
        <v>0.053999601794047815</v>
      </c>
      <c r="E25" s="2">
        <f t="shared" si="3"/>
        <v>2131.3454260435437</v>
      </c>
      <c r="F25" s="2">
        <f>M24*'Portfolio Model'!$D$13</f>
        <v>26313.100532017557</v>
      </c>
      <c r="G25" s="2">
        <f>F25*'Portfolio Model'!$D$14</f>
        <v>789.3930159605267</v>
      </c>
      <c r="H25" s="2">
        <f t="shared" si="4"/>
        <v>2920.7384420040703</v>
      </c>
      <c r="I25" s="1">
        <f t="shared" si="0"/>
        <v>68703.48977204796</v>
      </c>
      <c r="J25" s="1">
        <f>-MIN(I25*'Portfolio Model'!$D$21,I25)</f>
        <v>-1717.5872443011992</v>
      </c>
      <c r="K25" s="1">
        <f>IF(COUNT(B$6:B25)&lt;='Portfolio Model'!$D$17,'Portfolio Model'!$D$18,0)</f>
        <v>0</v>
      </c>
      <c r="L25" s="1">
        <f>IF(K25&gt;0,0,-MIN('Portfolio Model'!$D$19,('Retirement Model Projection'!I25+'Retirement Model Projection'!J25)))</f>
        <v>-66985.90252774676</v>
      </c>
      <c r="M25" s="1">
        <f t="shared" si="1"/>
        <v>0</v>
      </c>
    </row>
    <row r="26" spans="2:13" ht="12.75">
      <c r="B26">
        <f aca="true" t="shared" si="5" ref="B26:B35">B25+1</f>
        <v>2027</v>
      </c>
      <c r="C26" s="2">
        <f>M25*'Portfolio Model'!$D$7</f>
        <v>0</v>
      </c>
      <c r="D26" s="3">
        <f>_XLL.NORMALVALUE('Portfolio Model'!$D$8,'Portfolio Model'!$D$9)</f>
        <v>0.053994478786519494</v>
      </c>
      <c r="E26" s="2">
        <f aca="true" t="shared" si="6" ref="E26:E35">C26*D26</f>
        <v>0</v>
      </c>
      <c r="F26" s="2">
        <f>M25*'Portfolio Model'!$D$13</f>
        <v>0</v>
      </c>
      <c r="G26" s="2">
        <f>F26*'Portfolio Model'!$D$14</f>
        <v>0</v>
      </c>
      <c r="H26" s="2">
        <f aca="true" t="shared" si="7" ref="H26:H35">G26+E26</f>
        <v>0</v>
      </c>
      <c r="I26" s="1">
        <f t="shared" si="0"/>
        <v>0</v>
      </c>
      <c r="J26" s="1">
        <f>-MIN(I26*'Portfolio Model'!$D$21,I26)</f>
        <v>0</v>
      </c>
      <c r="K26" s="1">
        <f>IF(COUNT(B$6:B26)&lt;='Portfolio Model'!$D$17,'Portfolio Model'!$D$18,0)</f>
        <v>0</v>
      </c>
      <c r="L26" s="1">
        <f>IF(K26&gt;0,0,-MIN('Portfolio Model'!$D$19,('Retirement Model Projection'!I26+'Retirement Model Projection'!J26)))</f>
        <v>0</v>
      </c>
      <c r="M26" s="1">
        <f t="shared" si="1"/>
        <v>0</v>
      </c>
    </row>
    <row r="27" spans="2:13" ht="12.75">
      <c r="B27">
        <f t="shared" si="5"/>
        <v>2028</v>
      </c>
      <c r="C27" s="2">
        <f>M26*'Portfolio Model'!$D$7</f>
        <v>0</v>
      </c>
      <c r="D27" s="3">
        <f>_XLL.NORMALVALUE('Portfolio Model'!$D$8,'Portfolio Model'!$D$9)</f>
        <v>0.053992547330375</v>
      </c>
      <c r="E27" s="2">
        <f t="shared" si="6"/>
        <v>0</v>
      </c>
      <c r="F27" s="2">
        <f>M26*'Portfolio Model'!$D$13</f>
        <v>0</v>
      </c>
      <c r="G27" s="2">
        <f>F27*'Portfolio Model'!$D$14</f>
        <v>0</v>
      </c>
      <c r="H27" s="2">
        <f t="shared" si="7"/>
        <v>0</v>
      </c>
      <c r="I27" s="1">
        <f t="shared" si="0"/>
        <v>0</v>
      </c>
      <c r="J27" s="1">
        <f>-MIN(I27*'Portfolio Model'!$D$21,I27)</f>
        <v>0</v>
      </c>
      <c r="K27" s="1">
        <f>IF(COUNT(B$6:B27)&lt;='Portfolio Model'!$D$17,'Portfolio Model'!$D$18,0)</f>
        <v>0</v>
      </c>
      <c r="L27" s="1">
        <f>IF(K27&gt;0,0,-MIN('Portfolio Model'!$D$19,('Retirement Model Projection'!I27+'Retirement Model Projection'!J27)))</f>
        <v>0</v>
      </c>
      <c r="M27" s="1">
        <f t="shared" si="1"/>
        <v>0</v>
      </c>
    </row>
    <row r="28" spans="2:13" ht="12.75">
      <c r="B28">
        <f t="shared" si="5"/>
        <v>2029</v>
      </c>
      <c r="C28" s="2">
        <f>M27*'Portfolio Model'!$D$7</f>
        <v>0</v>
      </c>
      <c r="D28" s="3">
        <f>_XLL.NORMALVALUE('Portfolio Model'!$D$8,'Portfolio Model'!$D$9)</f>
        <v>0.05399364052066351</v>
      </c>
      <c r="E28" s="2">
        <f t="shared" si="6"/>
        <v>0</v>
      </c>
      <c r="F28" s="2">
        <f>M27*'Portfolio Model'!$D$13</f>
        <v>0</v>
      </c>
      <c r="G28" s="2">
        <f>F28*'Portfolio Model'!$D$14</f>
        <v>0</v>
      </c>
      <c r="H28" s="2">
        <f t="shared" si="7"/>
        <v>0</v>
      </c>
      <c r="I28" s="1">
        <f t="shared" si="0"/>
        <v>0</v>
      </c>
      <c r="J28" s="1">
        <f>-MIN(I28*'Portfolio Model'!$D$21,I28)</f>
        <v>0</v>
      </c>
      <c r="K28" s="1">
        <f>IF(COUNT(B$6:B28)&lt;='Portfolio Model'!$D$17,'Portfolio Model'!$D$18,0)</f>
        <v>0</v>
      </c>
      <c r="L28" s="1">
        <f>IF(K28&gt;0,0,-MIN('Portfolio Model'!$D$19,('Retirement Model Projection'!I28+'Retirement Model Projection'!J28)))</f>
        <v>0</v>
      </c>
      <c r="M28" s="1">
        <f t="shared" si="1"/>
        <v>0</v>
      </c>
    </row>
    <row r="29" spans="2:13" ht="12.75">
      <c r="B29">
        <f t="shared" si="5"/>
        <v>2030</v>
      </c>
      <c r="C29" s="2">
        <f>M28*'Portfolio Model'!$D$7</f>
        <v>0</v>
      </c>
      <c r="D29" s="3">
        <f>_XLL.NORMALVALUE('Portfolio Model'!$D$8,'Portfolio Model'!$D$9)</f>
        <v>0.05400354764205862</v>
      </c>
      <c r="E29" s="2">
        <f t="shared" si="6"/>
        <v>0</v>
      </c>
      <c r="F29" s="2">
        <f>M28*'Portfolio Model'!$D$13</f>
        <v>0</v>
      </c>
      <c r="G29" s="2">
        <f>F29*'Portfolio Model'!$D$14</f>
        <v>0</v>
      </c>
      <c r="H29" s="2">
        <f t="shared" si="7"/>
        <v>0</v>
      </c>
      <c r="I29" s="1">
        <f t="shared" si="0"/>
        <v>0</v>
      </c>
      <c r="J29" s="1">
        <f>-MIN(I29*'Portfolio Model'!$D$21,I29)</f>
        <v>0</v>
      </c>
      <c r="K29" s="1">
        <f>IF(COUNT(B$6:B29)&lt;='Portfolio Model'!$D$17,'Portfolio Model'!$D$18,0)</f>
        <v>0</v>
      </c>
      <c r="L29" s="1">
        <f>IF(K29&gt;0,0,-MIN('Portfolio Model'!$D$19,('Retirement Model Projection'!I29+'Retirement Model Projection'!J29)))</f>
        <v>0</v>
      </c>
      <c r="M29" s="1">
        <f t="shared" si="1"/>
        <v>0</v>
      </c>
    </row>
    <row r="30" spans="2:13" ht="12.75">
      <c r="B30">
        <f t="shared" si="5"/>
        <v>2031</v>
      </c>
      <c r="C30" s="2">
        <f>M29*'Portfolio Model'!$D$7</f>
        <v>0</v>
      </c>
      <c r="D30" s="3">
        <f>_XLL.NORMALVALUE('Portfolio Model'!$D$8,'Portfolio Model'!$D$9)</f>
        <v>0.053999191960258784</v>
      </c>
      <c r="E30" s="2">
        <f t="shared" si="6"/>
        <v>0</v>
      </c>
      <c r="F30" s="2">
        <f>M29*'Portfolio Model'!$D$13</f>
        <v>0</v>
      </c>
      <c r="G30" s="2">
        <f>F30*'Portfolio Model'!$D$14</f>
        <v>0</v>
      </c>
      <c r="H30" s="2">
        <f t="shared" si="7"/>
        <v>0</v>
      </c>
      <c r="I30" s="1">
        <f t="shared" si="0"/>
        <v>0</v>
      </c>
      <c r="J30" s="1">
        <f>-MIN(I30*'Portfolio Model'!$D$21,I30)</f>
        <v>0</v>
      </c>
      <c r="K30" s="1">
        <f>IF(COUNT(B$6:B30)&lt;='Portfolio Model'!$D$17,'Portfolio Model'!$D$18,0)</f>
        <v>0</v>
      </c>
      <c r="L30" s="1">
        <f>IF(K30&gt;0,0,-MIN('Portfolio Model'!$D$19,('Retirement Model Projection'!I30+'Retirement Model Projection'!J30)))</f>
        <v>0</v>
      </c>
      <c r="M30" s="1">
        <f t="shared" si="1"/>
        <v>0</v>
      </c>
    </row>
    <row r="31" spans="2:13" ht="12.75">
      <c r="B31">
        <f t="shared" si="5"/>
        <v>2032</v>
      </c>
      <c r="C31" s="2">
        <f>M30*'Portfolio Model'!$D$7</f>
        <v>0</v>
      </c>
      <c r="D31" s="3">
        <f>_XLL.NORMALVALUE('Portfolio Model'!$D$8,'Portfolio Model'!$D$9)</f>
        <v>0.0540103968832178</v>
      </c>
      <c r="E31" s="2">
        <f t="shared" si="6"/>
        <v>0</v>
      </c>
      <c r="F31" s="2">
        <f>M30*'Portfolio Model'!$D$13</f>
        <v>0</v>
      </c>
      <c r="G31" s="2">
        <f>F31*'Portfolio Model'!$D$14</f>
        <v>0</v>
      </c>
      <c r="H31" s="2">
        <f t="shared" si="7"/>
        <v>0</v>
      </c>
      <c r="I31" s="1">
        <f t="shared" si="0"/>
        <v>0</v>
      </c>
      <c r="J31" s="1">
        <f>-MIN(I31*'Portfolio Model'!$D$21,I31)</f>
        <v>0</v>
      </c>
      <c r="K31" s="1">
        <f>IF(COUNT(B$6:B31)&lt;='Portfolio Model'!$D$17,'Portfolio Model'!$D$18,0)</f>
        <v>0</v>
      </c>
      <c r="L31" s="1">
        <f>IF(K31&gt;0,0,-MIN('Portfolio Model'!$D$19,('Retirement Model Projection'!I31+'Retirement Model Projection'!J31)))</f>
        <v>0</v>
      </c>
      <c r="M31" s="1">
        <f t="shared" si="1"/>
        <v>0</v>
      </c>
    </row>
    <row r="32" spans="2:13" ht="12.75">
      <c r="B32">
        <f t="shared" si="5"/>
        <v>2033</v>
      </c>
      <c r="C32" s="2">
        <f>M31*'Portfolio Model'!$D$7</f>
        <v>0</v>
      </c>
      <c r="D32" s="3">
        <f>_XLL.NORMALVALUE('Portfolio Model'!$D$8,'Portfolio Model'!$D$9)</f>
        <v>0.05400128821960075</v>
      </c>
      <c r="E32" s="2">
        <f t="shared" si="6"/>
        <v>0</v>
      </c>
      <c r="F32" s="2">
        <f>M31*'Portfolio Model'!$D$13</f>
        <v>0</v>
      </c>
      <c r="G32" s="2">
        <f>F32*'Portfolio Model'!$D$14</f>
        <v>0</v>
      </c>
      <c r="H32" s="2">
        <f t="shared" si="7"/>
        <v>0</v>
      </c>
      <c r="I32" s="1">
        <f t="shared" si="0"/>
        <v>0</v>
      </c>
      <c r="J32" s="1">
        <f>-MIN(I32*'Portfolio Model'!$D$21,I32)</f>
        <v>0</v>
      </c>
      <c r="K32" s="1">
        <f>IF(COUNT(B$6:B32)&lt;='Portfolio Model'!$D$17,'Portfolio Model'!$D$18,0)</f>
        <v>0</v>
      </c>
      <c r="L32" s="1">
        <f>IF(K32&gt;0,0,-MIN('Portfolio Model'!$D$19,('Retirement Model Projection'!I32+'Retirement Model Projection'!J32)))</f>
        <v>0</v>
      </c>
      <c r="M32" s="1">
        <f t="shared" si="1"/>
        <v>0</v>
      </c>
    </row>
    <row r="33" spans="2:13" ht="12.75">
      <c r="B33">
        <f t="shared" si="5"/>
        <v>2034</v>
      </c>
      <c r="C33" s="2">
        <f>M32*'Portfolio Model'!$D$7</f>
        <v>0</v>
      </c>
      <c r="D33" s="3">
        <f>_XLL.NORMALVALUE('Portfolio Model'!$D$8,'Portfolio Model'!$D$9)</f>
        <v>0.05400071634551582</v>
      </c>
      <c r="E33" s="2">
        <f t="shared" si="6"/>
        <v>0</v>
      </c>
      <c r="F33" s="2">
        <f>M32*'Portfolio Model'!$D$13</f>
        <v>0</v>
      </c>
      <c r="G33" s="2">
        <f>F33*'Portfolio Model'!$D$14</f>
        <v>0</v>
      </c>
      <c r="H33" s="2">
        <f t="shared" si="7"/>
        <v>0</v>
      </c>
      <c r="I33" s="1">
        <f t="shared" si="0"/>
        <v>0</v>
      </c>
      <c r="J33" s="1">
        <f>-MIN(I33*'Portfolio Model'!$D$21,I33)</f>
        <v>0</v>
      </c>
      <c r="K33" s="1">
        <f>IF(COUNT(B$6:B33)&lt;='Portfolio Model'!$D$17,'Portfolio Model'!$D$18,0)</f>
        <v>0</v>
      </c>
      <c r="L33" s="1">
        <f>IF(K33&gt;0,0,-MIN('Portfolio Model'!$D$19,('Retirement Model Projection'!I33+'Retirement Model Projection'!J33)))</f>
        <v>0</v>
      </c>
      <c r="M33" s="1">
        <f t="shared" si="1"/>
        <v>0</v>
      </c>
    </row>
    <row r="34" spans="2:13" ht="12.75">
      <c r="B34">
        <f t="shared" si="5"/>
        <v>2035</v>
      </c>
      <c r="C34" s="2">
        <f>M33*'Portfolio Model'!$D$7</f>
        <v>0</v>
      </c>
      <c r="D34" s="3">
        <f>_XLL.NORMALVALUE('Portfolio Model'!$D$8,'Portfolio Model'!$D$9)</f>
        <v>0.05400056685851365</v>
      </c>
      <c r="E34" s="2">
        <f t="shared" si="6"/>
        <v>0</v>
      </c>
      <c r="F34" s="2">
        <f>M33*'Portfolio Model'!$D$13</f>
        <v>0</v>
      </c>
      <c r="G34" s="2">
        <f>F34*'Portfolio Model'!$D$14</f>
        <v>0</v>
      </c>
      <c r="H34" s="2">
        <f t="shared" si="7"/>
        <v>0</v>
      </c>
      <c r="I34" s="1">
        <f t="shared" si="0"/>
        <v>0</v>
      </c>
      <c r="J34" s="1">
        <f>-MIN(I34*'Portfolio Model'!$D$21,I34)</f>
        <v>0</v>
      </c>
      <c r="K34" s="1">
        <f>IF(COUNT(B$6:B34)&lt;='Portfolio Model'!$D$17,'Portfolio Model'!$D$18,0)</f>
        <v>0</v>
      </c>
      <c r="L34" s="1">
        <f>IF(K34&gt;0,0,-MIN('Portfolio Model'!$D$19,('Retirement Model Projection'!I34+'Retirement Model Projection'!J34)))</f>
        <v>0</v>
      </c>
      <c r="M34" s="1">
        <f t="shared" si="1"/>
        <v>0</v>
      </c>
    </row>
    <row r="35" spans="2:13" ht="12.75">
      <c r="B35">
        <f t="shared" si="5"/>
        <v>2036</v>
      </c>
      <c r="C35" s="2">
        <f>M34*'Portfolio Model'!$D$7</f>
        <v>0</v>
      </c>
      <c r="D35" s="3">
        <f>_XLL.NORMALVALUE('Portfolio Model'!$D$8,'Portfolio Model'!$D$9)</f>
        <v>0.054004812841208116</v>
      </c>
      <c r="E35" s="2">
        <f t="shared" si="6"/>
        <v>0</v>
      </c>
      <c r="F35" s="2">
        <f>M34*'Portfolio Model'!$D$13</f>
        <v>0</v>
      </c>
      <c r="G35" s="2">
        <f>F35*'Portfolio Model'!$D$14</f>
        <v>0</v>
      </c>
      <c r="H35" s="2">
        <f t="shared" si="7"/>
        <v>0</v>
      </c>
      <c r="I35" s="1">
        <f t="shared" si="0"/>
        <v>0</v>
      </c>
      <c r="J35" s="1">
        <f>-MIN(I35*'Portfolio Model'!$D$21,I35)</f>
        <v>0</v>
      </c>
      <c r="K35" s="1">
        <f>IF(COUNT(B$6:B35)&lt;='Portfolio Model'!$D$17,'Portfolio Model'!$D$18,0)</f>
        <v>0</v>
      </c>
      <c r="L35" s="1">
        <f>IF(K35&gt;0,0,-MIN('Portfolio Model'!$D$19,('Retirement Model Projection'!I35+'Retirement Model Projection'!J35)))</f>
        <v>0</v>
      </c>
      <c r="M35" s="1">
        <f t="shared" si="1"/>
        <v>0</v>
      </c>
    </row>
    <row r="36" spans="2:13" ht="12.75">
      <c r="B36">
        <f>B35+1</f>
        <v>2037</v>
      </c>
      <c r="C36" s="2">
        <f>M35*'Portfolio Model'!$D$7</f>
        <v>0</v>
      </c>
      <c r="D36" s="3">
        <f>_XLL.NORMALVALUE('Portfolio Model'!$D$8,'Portfolio Model'!$D$9)</f>
        <v>0.05399174412522823</v>
      </c>
      <c r="E36" s="2">
        <f>C36*D36</f>
        <v>0</v>
      </c>
      <c r="F36" s="2">
        <f>M35*'Portfolio Model'!$D$13</f>
        <v>0</v>
      </c>
      <c r="G36" s="2">
        <f>F36*'Portfolio Model'!$D$14</f>
        <v>0</v>
      </c>
      <c r="H36" s="2">
        <f>G36+E36</f>
        <v>0</v>
      </c>
      <c r="I36" s="1">
        <f>H36+C36+F36</f>
        <v>0</v>
      </c>
      <c r="J36" s="1">
        <f>-MIN(I36*'Portfolio Model'!$D$21,I36)</f>
        <v>0</v>
      </c>
      <c r="K36" s="1">
        <f>IF(COUNT(B$6:B36)&lt;='Portfolio Model'!$D$17,'Portfolio Model'!$D$18,0)</f>
        <v>0</v>
      </c>
      <c r="L36" s="1">
        <f>IF(K36&gt;0,0,-MIN('Portfolio Model'!$D$19,('Retirement Model Projection'!I36+'Retirement Model Projection'!J36)))</f>
        <v>0</v>
      </c>
      <c r="M36" s="1">
        <f>MAX(SUM(I36:L36),0)</f>
        <v>0</v>
      </c>
    </row>
    <row r="37" spans="2:13" ht="12.75">
      <c r="B37">
        <f aca="true" t="shared" si="8" ref="B37:B45">B36+1</f>
        <v>2038</v>
      </c>
      <c r="C37" s="2">
        <f>M36*'Portfolio Model'!$D$7</f>
        <v>0</v>
      </c>
      <c r="D37" s="3">
        <f>_XLL.NORMALVALUE('Portfolio Model'!$D$8,'Portfolio Model'!$D$9)</f>
        <v>0.05400571448184046</v>
      </c>
      <c r="E37" s="2">
        <f aca="true" t="shared" si="9" ref="E37:E45">C37*D37</f>
        <v>0</v>
      </c>
      <c r="F37" s="2">
        <f>M36*'Portfolio Model'!$D$13</f>
        <v>0</v>
      </c>
      <c r="G37" s="2">
        <f>F37*'Portfolio Model'!$D$14</f>
        <v>0</v>
      </c>
      <c r="H37" s="2">
        <f aca="true" t="shared" si="10" ref="H37:H45">G37+E37</f>
        <v>0</v>
      </c>
      <c r="I37" s="1">
        <f aca="true" t="shared" si="11" ref="I37:I45">H37+C37+F37</f>
        <v>0</v>
      </c>
      <c r="J37" s="1">
        <f>-MIN(I37*'Portfolio Model'!$D$21,I37)</f>
        <v>0</v>
      </c>
      <c r="K37" s="1">
        <f>IF(COUNT(B$6:B37)&lt;='Portfolio Model'!$D$17,'Portfolio Model'!$D$18,0)</f>
        <v>0</v>
      </c>
      <c r="L37" s="1">
        <f>IF(K37&gt;0,0,-MIN('Portfolio Model'!$D$19,('Retirement Model Projection'!I37+'Retirement Model Projection'!J37)))</f>
        <v>0</v>
      </c>
      <c r="M37" s="1">
        <f aca="true" t="shared" si="12" ref="M37:M45">MAX(SUM(I37:L37),0)</f>
        <v>0</v>
      </c>
    </row>
    <row r="38" spans="2:13" ht="12.75">
      <c r="B38">
        <f t="shared" si="8"/>
        <v>2039</v>
      </c>
      <c r="C38" s="2">
        <f>M37*'Portfolio Model'!$D$7</f>
        <v>0</v>
      </c>
      <c r="D38" s="3">
        <f>_XLL.NORMALVALUE('Portfolio Model'!$D$8,'Portfolio Model'!$D$9)</f>
        <v>0.05400256521235449</v>
      </c>
      <c r="E38" s="2">
        <f t="shared" si="9"/>
        <v>0</v>
      </c>
      <c r="F38" s="2">
        <f>M37*'Portfolio Model'!$D$13</f>
        <v>0</v>
      </c>
      <c r="G38" s="2">
        <f>F38*'Portfolio Model'!$D$14</f>
        <v>0</v>
      </c>
      <c r="H38" s="2">
        <f t="shared" si="10"/>
        <v>0</v>
      </c>
      <c r="I38" s="1">
        <f t="shared" si="11"/>
        <v>0</v>
      </c>
      <c r="J38" s="1">
        <f>-MIN(I38*'Portfolio Model'!$D$21,I38)</f>
        <v>0</v>
      </c>
      <c r="K38" s="1">
        <f>IF(COUNT(B$6:B38)&lt;='Portfolio Model'!$D$17,'Portfolio Model'!$D$18,0)</f>
        <v>0</v>
      </c>
      <c r="L38" s="1">
        <f>IF(K38&gt;0,0,-MIN('Portfolio Model'!$D$19,('Retirement Model Projection'!I38+'Retirement Model Projection'!J38)))</f>
        <v>0</v>
      </c>
      <c r="M38" s="1">
        <f t="shared" si="12"/>
        <v>0</v>
      </c>
    </row>
    <row r="39" spans="2:13" ht="12.75">
      <c r="B39">
        <f t="shared" si="8"/>
        <v>2040</v>
      </c>
      <c r="C39" s="2">
        <f>M38*'Portfolio Model'!$D$7</f>
        <v>0</v>
      </c>
      <c r="D39" s="3">
        <f>_XLL.NORMALVALUE('Portfolio Model'!$D$8,'Portfolio Model'!$D$9)</f>
        <v>0.05399436786869634</v>
      </c>
      <c r="E39" s="2">
        <f t="shared" si="9"/>
        <v>0</v>
      </c>
      <c r="F39" s="2">
        <f>M38*'Portfolio Model'!$D$13</f>
        <v>0</v>
      </c>
      <c r="G39" s="2">
        <f>F39*'Portfolio Model'!$D$14</f>
        <v>0</v>
      </c>
      <c r="H39" s="2">
        <f t="shared" si="10"/>
        <v>0</v>
      </c>
      <c r="I39" s="1">
        <f t="shared" si="11"/>
        <v>0</v>
      </c>
      <c r="J39" s="1">
        <f>-MIN(I39*'Portfolio Model'!$D$21,I39)</f>
        <v>0</v>
      </c>
      <c r="K39" s="1">
        <f>IF(COUNT(B$6:B39)&lt;='Portfolio Model'!$D$17,'Portfolio Model'!$D$18,0)</f>
        <v>0</v>
      </c>
      <c r="L39" s="1">
        <f>IF(K39&gt;0,0,-MIN('Portfolio Model'!$D$19,('Retirement Model Projection'!I39+'Retirement Model Projection'!J39)))</f>
        <v>0</v>
      </c>
      <c r="M39" s="1">
        <f t="shared" si="12"/>
        <v>0</v>
      </c>
    </row>
    <row r="40" spans="2:13" ht="12.75">
      <c r="B40">
        <f t="shared" si="8"/>
        <v>2041</v>
      </c>
      <c r="C40" s="2">
        <f>M39*'Portfolio Model'!$D$7</f>
        <v>0</v>
      </c>
      <c r="D40" s="3">
        <f>_XLL.NORMALVALUE('Portfolio Model'!$D$8,'Portfolio Model'!$D$9)</f>
        <v>0.05399781424188923</v>
      </c>
      <c r="E40" s="2">
        <f t="shared" si="9"/>
        <v>0</v>
      </c>
      <c r="F40" s="2">
        <f>M39*'Portfolio Model'!$D$13</f>
        <v>0</v>
      </c>
      <c r="G40" s="2">
        <f>F40*'Portfolio Model'!$D$14</f>
        <v>0</v>
      </c>
      <c r="H40" s="2">
        <f t="shared" si="10"/>
        <v>0</v>
      </c>
      <c r="I40" s="1">
        <f t="shared" si="11"/>
        <v>0</v>
      </c>
      <c r="J40" s="1">
        <f>-MIN(I40*'Portfolio Model'!$D$21,I40)</f>
        <v>0</v>
      </c>
      <c r="K40" s="1">
        <f>IF(COUNT(B$6:B40)&lt;='Portfolio Model'!$D$17,'Portfolio Model'!$D$18,0)</f>
        <v>0</v>
      </c>
      <c r="L40" s="1">
        <f>IF(K40&gt;0,0,-MIN('Portfolio Model'!$D$19,('Retirement Model Projection'!I40+'Retirement Model Projection'!J40)))</f>
        <v>0</v>
      </c>
      <c r="M40" s="1">
        <f t="shared" si="12"/>
        <v>0</v>
      </c>
    </row>
    <row r="41" spans="2:13" ht="12.75">
      <c r="B41">
        <f t="shared" si="8"/>
        <v>2042</v>
      </c>
      <c r="C41" s="2">
        <f>M40*'Portfolio Model'!$D$7</f>
        <v>0</v>
      </c>
      <c r="D41" s="3">
        <f>_XLL.NORMALVALUE('Portfolio Model'!$D$8,'Portfolio Model'!$D$9)</f>
        <v>0.05400307124112798</v>
      </c>
      <c r="E41" s="2">
        <f t="shared" si="9"/>
        <v>0</v>
      </c>
      <c r="F41" s="2">
        <f>M40*'Portfolio Model'!$D$13</f>
        <v>0</v>
      </c>
      <c r="G41" s="2">
        <f>F41*'Portfolio Model'!$D$14</f>
        <v>0</v>
      </c>
      <c r="H41" s="2">
        <f t="shared" si="10"/>
        <v>0</v>
      </c>
      <c r="I41" s="1">
        <f t="shared" si="11"/>
        <v>0</v>
      </c>
      <c r="J41" s="1">
        <f>-MIN(I41*'Portfolio Model'!$D$21,I41)</f>
        <v>0</v>
      </c>
      <c r="K41" s="1">
        <f>IF(COUNT(B$6:B41)&lt;='Portfolio Model'!$D$17,'Portfolio Model'!$D$18,0)</f>
        <v>0</v>
      </c>
      <c r="L41" s="1">
        <f>IF(K41&gt;0,0,-MIN('Portfolio Model'!$D$19,('Retirement Model Projection'!I41+'Retirement Model Projection'!J41)))</f>
        <v>0</v>
      </c>
      <c r="M41" s="1">
        <f t="shared" si="12"/>
        <v>0</v>
      </c>
    </row>
    <row r="42" spans="2:13" ht="12.75">
      <c r="B42">
        <f t="shared" si="8"/>
        <v>2043</v>
      </c>
      <c r="C42" s="2">
        <f>M41*'Portfolio Model'!$D$7</f>
        <v>0</v>
      </c>
      <c r="D42" s="3">
        <f>_XLL.NORMALVALUE('Portfolio Model'!$D$8,'Portfolio Model'!$D$9)</f>
        <v>0.05400900684292292</v>
      </c>
      <c r="E42" s="2">
        <f t="shared" si="9"/>
        <v>0</v>
      </c>
      <c r="F42" s="2">
        <f>M41*'Portfolio Model'!$D$13</f>
        <v>0</v>
      </c>
      <c r="G42" s="2">
        <f>F42*'Portfolio Model'!$D$14</f>
        <v>0</v>
      </c>
      <c r="H42" s="2">
        <f t="shared" si="10"/>
        <v>0</v>
      </c>
      <c r="I42" s="1">
        <f t="shared" si="11"/>
        <v>0</v>
      </c>
      <c r="J42" s="1">
        <f>-MIN(I42*'Portfolio Model'!$D$21,I42)</f>
        <v>0</v>
      </c>
      <c r="K42" s="1">
        <f>IF(COUNT(B$6:B42)&lt;='Portfolio Model'!$D$17,'Portfolio Model'!$D$18,0)</f>
        <v>0</v>
      </c>
      <c r="L42" s="1">
        <f>IF(K42&gt;0,0,-MIN('Portfolio Model'!$D$19,('Retirement Model Projection'!I42+'Retirement Model Projection'!J42)))</f>
        <v>0</v>
      </c>
      <c r="M42" s="1">
        <f t="shared" si="12"/>
        <v>0</v>
      </c>
    </row>
    <row r="43" spans="2:13" ht="12.75">
      <c r="B43">
        <f t="shared" si="8"/>
        <v>2044</v>
      </c>
      <c r="C43" s="2">
        <f>M42*'Portfolio Model'!$D$7</f>
        <v>0</v>
      </c>
      <c r="D43" s="3">
        <f>_XLL.NORMALVALUE('Portfolio Model'!$D$8,'Portfolio Model'!$D$9)</f>
        <v>0.053990428632498526</v>
      </c>
      <c r="E43" s="2">
        <f t="shared" si="9"/>
        <v>0</v>
      </c>
      <c r="F43" s="2">
        <f>M42*'Portfolio Model'!$D$13</f>
        <v>0</v>
      </c>
      <c r="G43" s="2">
        <f>F43*'Portfolio Model'!$D$14</f>
        <v>0</v>
      </c>
      <c r="H43" s="2">
        <f t="shared" si="10"/>
        <v>0</v>
      </c>
      <c r="I43" s="1">
        <f t="shared" si="11"/>
        <v>0</v>
      </c>
      <c r="J43" s="1">
        <f>-MIN(I43*'Portfolio Model'!$D$21,I43)</f>
        <v>0</v>
      </c>
      <c r="K43" s="1">
        <f>IF(COUNT(B$6:B43)&lt;='Portfolio Model'!$D$17,'Portfolio Model'!$D$18,0)</f>
        <v>0</v>
      </c>
      <c r="L43" s="1">
        <f>IF(K43&gt;0,0,-MIN('Portfolio Model'!$D$19,('Retirement Model Projection'!I43+'Retirement Model Projection'!J43)))</f>
        <v>0</v>
      </c>
      <c r="M43" s="1">
        <f t="shared" si="12"/>
        <v>0</v>
      </c>
    </row>
    <row r="44" spans="2:13" ht="12.75">
      <c r="B44">
        <f t="shared" si="8"/>
        <v>2045</v>
      </c>
      <c r="C44" s="2">
        <f>M43*'Portfolio Model'!$D$7</f>
        <v>0</v>
      </c>
      <c r="D44" s="3">
        <f>_XLL.NORMALVALUE('Portfolio Model'!$D$8,'Portfolio Model'!$D$9)</f>
        <v>0.05400392171103797</v>
      </c>
      <c r="E44" s="2">
        <f t="shared" si="9"/>
        <v>0</v>
      </c>
      <c r="F44" s="2">
        <f>M43*'Portfolio Model'!$D$13</f>
        <v>0</v>
      </c>
      <c r="G44" s="2">
        <f>F44*'Portfolio Model'!$D$14</f>
        <v>0</v>
      </c>
      <c r="H44" s="2">
        <f t="shared" si="10"/>
        <v>0</v>
      </c>
      <c r="I44" s="1">
        <f t="shared" si="11"/>
        <v>0</v>
      </c>
      <c r="J44" s="1">
        <f>-MIN(I44*'Portfolio Model'!$D$21,I44)</f>
        <v>0</v>
      </c>
      <c r="K44" s="1">
        <f>IF(COUNT(B$6:B44)&lt;='Portfolio Model'!$D$17,'Portfolio Model'!$D$18,0)</f>
        <v>0</v>
      </c>
      <c r="L44" s="1">
        <f>IF(K44&gt;0,0,-MIN('Portfolio Model'!$D$19,('Retirement Model Projection'!I44+'Retirement Model Projection'!J44)))</f>
        <v>0</v>
      </c>
      <c r="M44" s="1">
        <f t="shared" si="12"/>
        <v>0</v>
      </c>
    </row>
    <row r="45" spans="2:13" ht="12.75">
      <c r="B45">
        <f t="shared" si="8"/>
        <v>2046</v>
      </c>
      <c r="C45" s="2">
        <f>M44*'Portfolio Model'!$D$7</f>
        <v>0</v>
      </c>
      <c r="D45" s="3">
        <f>_XLL.NORMALVALUE('Portfolio Model'!$D$8,'Portfolio Model'!$D$9)</f>
        <v>0.054001740962565874</v>
      </c>
      <c r="E45" s="2">
        <f t="shared" si="9"/>
        <v>0</v>
      </c>
      <c r="F45" s="2">
        <f>M44*'Portfolio Model'!$D$13</f>
        <v>0</v>
      </c>
      <c r="G45" s="2">
        <f>F45*'Portfolio Model'!$D$14</f>
        <v>0</v>
      </c>
      <c r="H45" s="2">
        <f t="shared" si="10"/>
        <v>0</v>
      </c>
      <c r="I45" s="1">
        <f t="shared" si="11"/>
        <v>0</v>
      </c>
      <c r="J45" s="1">
        <f>-MIN(I45*'Portfolio Model'!$D$21,I45)</f>
        <v>0</v>
      </c>
      <c r="K45" s="1">
        <f>IF(COUNT(B$6:B45)&lt;='Portfolio Model'!$D$17,'Portfolio Model'!$D$18,0)</f>
        <v>0</v>
      </c>
      <c r="L45" s="1">
        <f>IF(K45&gt;0,0,-MIN('Portfolio Model'!$D$19,('Retirement Model Projection'!I45+'Retirement Model Projection'!J45)))</f>
        <v>0</v>
      </c>
      <c r="M45" s="1">
        <f t="shared" si="1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2.75"/>
  <cols>
    <col min="2" max="2" width="19.8515625" style="0" bestFit="1" customWidth="1"/>
    <col min="3" max="3" width="15.7109375" style="0" customWidth="1"/>
    <col min="4" max="4" width="16.57421875" style="0" customWidth="1"/>
  </cols>
  <sheetData>
    <row r="2" ht="12.75">
      <c r="B2" t="s">
        <v>39</v>
      </c>
    </row>
    <row r="3" ht="12.75">
      <c r="B3" t="s">
        <v>40</v>
      </c>
    </row>
    <row r="5" spans="1:4" ht="12.75">
      <c r="A5" s="4" t="s">
        <v>3</v>
      </c>
      <c r="B5" t="s">
        <v>18</v>
      </c>
      <c r="C5" t="s">
        <v>16</v>
      </c>
      <c r="D5" t="s">
        <v>17</v>
      </c>
    </row>
    <row r="6" spans="1:4" ht="12.75">
      <c r="A6">
        <v>2007</v>
      </c>
      <c r="B6" s="1">
        <f>_XLL.SIMULATIONMEAN('Retirement Model Projection'!$M6)</f>
        <v>1053288.9421018695</v>
      </c>
      <c r="C6" s="1">
        <f>_XLL.SIMULATIONPERCENTILE('Retirement Model Projection'!$M6,5%)</f>
        <v>977217.7925551068</v>
      </c>
      <c r="D6" s="1">
        <f>_XLL.SIMULATIONPERCENTILE('Retirement Model Projection'!$M6,95%)</f>
        <v>1129262.0439412692</v>
      </c>
    </row>
    <row r="7" spans="1:4" ht="12.75">
      <c r="A7">
        <f>A6+1</f>
        <v>2008</v>
      </c>
      <c r="B7" s="1">
        <f>_XLL.SIMULATIONMEAN('Retirement Model Projection'!$M7)</f>
        <v>1107500.2303199223</v>
      </c>
      <c r="C7" s="1">
        <f>_XLL.SIMULATIONPERCENTILE('Retirement Model Projection'!$M7,5%)</f>
        <v>998606.563264196</v>
      </c>
      <c r="D7" s="1">
        <f>_XLL.SIMULATIONPERCENTILE('Retirement Model Projection'!$M7,95%)</f>
        <v>1221301.4554463252</v>
      </c>
    </row>
    <row r="8" spans="1:4" ht="12.75">
      <c r="A8">
        <f aca="true" t="shared" si="0" ref="A8:A30">A7+1</f>
        <v>2009</v>
      </c>
      <c r="B8" s="1">
        <f>_XLL.SIMULATIONMEAN('Retirement Model Projection'!$M8)</f>
        <v>1162734.2612687217</v>
      </c>
      <c r="C8" s="1">
        <f>_XLL.SIMULATIONPERCENTILE('Retirement Model Projection'!$M8,5%)</f>
        <v>1023524.4001091798</v>
      </c>
      <c r="D8" s="1">
        <f>_XLL.SIMULATIONPERCENTILE('Retirement Model Projection'!$M8,95%)</f>
        <v>1304805.677822431</v>
      </c>
    </row>
    <row r="9" spans="1:4" ht="12.75">
      <c r="A9">
        <f t="shared" si="0"/>
        <v>2010</v>
      </c>
      <c r="B9" s="1">
        <f>_XLL.SIMULATIONMEAN('Retirement Model Projection'!$M9)</f>
        <v>1218966.9936879147</v>
      </c>
      <c r="C9" s="1">
        <f>_XLL.SIMULATIONPERCENTILE('Retirement Model Projection'!$M9,5%)</f>
        <v>1055321.493616607</v>
      </c>
      <c r="D9" s="1">
        <f>_XLL.SIMULATIONPERCENTILE('Retirement Model Projection'!$M9,95%)</f>
        <v>1388689.795034474</v>
      </c>
    </row>
    <row r="10" spans="1:4" ht="12.75">
      <c r="A10">
        <f t="shared" si="0"/>
        <v>2011</v>
      </c>
      <c r="B10" s="1">
        <f>_XLL.SIMULATIONMEAN('Retirement Model Projection'!$M10)</f>
        <v>1276267.7751783386</v>
      </c>
      <c r="C10" s="1">
        <f>_XLL.SIMULATIONPERCENTILE('Retirement Model Projection'!$M10,5%)</f>
        <v>1087847.614556113</v>
      </c>
      <c r="D10" s="1">
        <f>_XLL.SIMULATIONPERCENTILE('Retirement Model Projection'!$M10,95%)</f>
        <v>1475423.6157098308</v>
      </c>
    </row>
    <row r="11" spans="1:4" ht="12.75">
      <c r="A11">
        <f t="shared" si="0"/>
        <v>2012</v>
      </c>
      <c r="B11" s="1">
        <f>_XLL.SIMULATIONMEAN('Retirement Model Projection'!$M11)</f>
        <v>1199612.120272434</v>
      </c>
      <c r="C11" s="1">
        <f>_XLL.SIMULATIONPERCENTILE('Retirement Model Projection'!$M11,5%)</f>
        <v>989794.3126298257</v>
      </c>
      <c r="D11" s="1">
        <f>_XLL.SIMULATIONPERCENTILE('Retirement Model Projection'!$M11,95%)</f>
        <v>1431961.3104593388</v>
      </c>
    </row>
    <row r="12" spans="1:4" ht="12.75">
      <c r="A12">
        <f t="shared" si="0"/>
        <v>2013</v>
      </c>
      <c r="B12" s="1">
        <f>_XLL.SIMULATIONMEAN('Retirement Model Projection'!$M12)</f>
        <v>1121577.6367363874</v>
      </c>
      <c r="C12" s="1">
        <f>_XLL.SIMULATIONPERCENTILE('Retirement Model Projection'!$M12,5%)</f>
        <v>892189.5208785185</v>
      </c>
      <c r="D12" s="1">
        <f>_XLL.SIMULATIONPERCENTILE('Retirement Model Projection'!$M12,95%)</f>
        <v>1378902.705706765</v>
      </c>
    </row>
    <row r="13" spans="1:4" ht="12.75">
      <c r="A13">
        <f t="shared" si="0"/>
        <v>2014</v>
      </c>
      <c r="B13" s="1">
        <f>_XLL.SIMULATIONMEAN('Retirement Model Projection'!$M13)</f>
        <v>1042002.7833062859</v>
      </c>
      <c r="C13" s="1">
        <f>_XLL.SIMULATIONPERCENTILE('Retirement Model Projection'!$M13,5%)</f>
        <v>796885.6722902477</v>
      </c>
      <c r="D13" s="1">
        <f>_XLL.SIMULATIONPERCENTILE('Retirement Model Projection'!$M13,95%)</f>
        <v>1318548.4818838944</v>
      </c>
    </row>
    <row r="14" spans="1:4" ht="12.75">
      <c r="A14">
        <f t="shared" si="0"/>
        <v>2015</v>
      </c>
      <c r="B14" s="1">
        <f>_XLL.SIMULATIONMEAN('Retirement Model Projection'!$M14)</f>
        <v>961134.4990883432</v>
      </c>
      <c r="C14" s="1">
        <f>_XLL.SIMULATIONPERCENTILE('Retirement Model Projection'!$M14,5%)</f>
        <v>703456.1879301154</v>
      </c>
      <c r="D14" s="1">
        <f>_XLL.SIMULATIONPERCENTILE('Retirement Model Projection'!$M14,95%)</f>
        <v>1258238.9852407062</v>
      </c>
    </row>
    <row r="15" spans="1:4" ht="12.75">
      <c r="A15">
        <f t="shared" si="0"/>
        <v>2016</v>
      </c>
      <c r="B15" s="1">
        <f>_XLL.SIMULATIONMEAN('Retirement Model Projection'!$M15)</f>
        <v>878926.156196268</v>
      </c>
      <c r="C15" s="1">
        <f>_XLL.SIMULATIONPERCENTILE('Retirement Model Projection'!$M15,5%)</f>
        <v>604896.2621743013</v>
      </c>
      <c r="D15" s="1">
        <f>_XLL.SIMULATIONPERCENTILE('Retirement Model Projection'!$M15,95%)</f>
        <v>1196475.3603049822</v>
      </c>
    </row>
    <row r="16" spans="1:4" ht="12.75">
      <c r="A16">
        <f t="shared" si="0"/>
        <v>2017</v>
      </c>
      <c r="B16" s="1">
        <f>_XLL.SIMULATIONMEAN('Retirement Model Projection'!$M16)</f>
        <v>795110.0814117254</v>
      </c>
      <c r="C16" s="1">
        <f>_XLL.SIMULATIONPERCENTILE('Retirement Model Projection'!$M16,5%)</f>
        <v>510640.77613087755</v>
      </c>
      <c r="D16" s="1">
        <f>_XLL.SIMULATIONPERCENTILE('Retirement Model Projection'!$M16,95%)</f>
        <v>1126991.417279942</v>
      </c>
    </row>
    <row r="17" spans="1:4" ht="12.75">
      <c r="A17">
        <f t="shared" si="0"/>
        <v>2018</v>
      </c>
      <c r="B17" s="1">
        <f>_XLL.SIMULATIONMEAN('Retirement Model Projection'!$M17)</f>
        <v>709533.5819146024</v>
      </c>
      <c r="C17" s="1">
        <f>_XLL.SIMULATIONPERCENTILE('Retirement Model Projection'!$M17,5%)</f>
        <v>417033.01246590837</v>
      </c>
      <c r="D17" s="1">
        <f>_XLL.SIMULATIONPERCENTILE('Retirement Model Projection'!$M17,95%)</f>
        <v>1052533.5790301522</v>
      </c>
    </row>
    <row r="18" spans="1:4" ht="12.75">
      <c r="A18">
        <f t="shared" si="0"/>
        <v>2019</v>
      </c>
      <c r="B18" s="1">
        <f>_XLL.SIMULATIONMEAN('Retirement Model Projection'!$M18)</f>
        <v>622433.2158715555</v>
      </c>
      <c r="C18" s="1">
        <f>_XLL.SIMULATIONPERCENTILE('Retirement Model Projection'!$M18,5%)</f>
        <v>319551.46689562226</v>
      </c>
      <c r="D18" s="1">
        <f>_XLL.SIMULATIONPERCENTILE('Retirement Model Projection'!$M18,95%)</f>
        <v>975373.5355652256</v>
      </c>
    </row>
    <row r="19" spans="1:4" ht="12.75">
      <c r="A19">
        <f t="shared" si="0"/>
        <v>2020</v>
      </c>
      <c r="B19" s="1">
        <f>_XLL.SIMULATIONMEAN('Retirement Model Projection'!$M19)</f>
        <v>533722.8272672156</v>
      </c>
      <c r="C19" s="1">
        <f>_XLL.SIMULATIONPERCENTILE('Retirement Model Projection'!$M19,5%)</f>
        <v>225217.9256623147</v>
      </c>
      <c r="D19" s="1">
        <f>_XLL.SIMULATIONPERCENTILE('Retirement Model Projection'!$M19,95%)</f>
        <v>900286.3974970302</v>
      </c>
    </row>
    <row r="20" spans="1:4" ht="12.75">
      <c r="A20">
        <f t="shared" si="0"/>
        <v>2021</v>
      </c>
      <c r="B20" s="1">
        <f>_XLL.SIMULATIONMEAN('Retirement Model Projection'!$M20)</f>
        <v>443882.3797673743</v>
      </c>
      <c r="C20" s="1">
        <f>_XLL.SIMULATIONPERCENTILE('Retirement Model Projection'!$M20,5%)</f>
        <v>127691.08014971713</v>
      </c>
      <c r="D20" s="1">
        <f>_XLL.SIMULATIONPERCENTILE('Retirement Model Projection'!$M20,95%)</f>
        <v>815267.5101833415</v>
      </c>
    </row>
    <row r="21" spans="1:4" ht="12.75">
      <c r="A21">
        <f t="shared" si="0"/>
        <v>2022</v>
      </c>
      <c r="B21" s="1">
        <f>_XLL.SIMULATIONMEAN('Retirement Model Projection'!$M21)</f>
        <v>353589.0247269672</v>
      </c>
      <c r="C21" s="1">
        <f>_XLL.SIMULATIONPERCENTILE('Retirement Model Projection'!$M21,5%)</f>
        <v>29813.50697759376</v>
      </c>
      <c r="D21" s="1">
        <f>_XLL.SIMULATIONPERCENTILE('Retirement Model Projection'!$M21,95%)</f>
        <v>732348.6245394605</v>
      </c>
    </row>
    <row r="22" spans="1:4" ht="12.75">
      <c r="A22">
        <f t="shared" si="0"/>
        <v>2023</v>
      </c>
      <c r="B22" s="1">
        <f>_XLL.SIMULATIONMEAN('Retirement Model Projection'!$M22)</f>
        <v>266663.6604631439</v>
      </c>
      <c r="C22" s="1">
        <f>_XLL.SIMULATIONPERCENTILE('Retirement Model Projection'!$M22,5%)</f>
        <v>0</v>
      </c>
      <c r="D22" s="1">
        <f>_XLL.SIMULATIONPERCENTILE('Retirement Model Projection'!$M22,95%)</f>
        <v>652522.0588694544</v>
      </c>
    </row>
    <row r="23" spans="1:4" ht="12.75">
      <c r="A23">
        <f t="shared" si="0"/>
        <v>2024</v>
      </c>
      <c r="B23" s="1">
        <f>_XLL.SIMULATIONMEAN('Retirement Model Projection'!$M23)</f>
        <v>188409.57217568645</v>
      </c>
      <c r="C23" s="1">
        <f>_XLL.SIMULATIONPERCENTILE('Retirement Model Projection'!$M23,5%)</f>
        <v>0</v>
      </c>
      <c r="D23" s="1">
        <f>_XLL.SIMULATIONPERCENTILE('Retirement Model Projection'!$M23,95%)</f>
        <v>559527.7294399076</v>
      </c>
    </row>
    <row r="24" spans="1:4" ht="12.75">
      <c r="A24">
        <f t="shared" si="0"/>
        <v>2025</v>
      </c>
      <c r="B24" s="1">
        <f>_XLL.SIMULATIONMEAN('Retirement Model Projection'!$M24)</f>
        <v>124559.00083093181</v>
      </c>
      <c r="C24" s="1">
        <f>_XLL.SIMULATIONPERCENTILE('Retirement Model Projection'!$M24,5%)</f>
        <v>0</v>
      </c>
      <c r="D24" s="1">
        <f>_XLL.SIMULATIONPERCENTILE('Retirement Model Projection'!$M24,95%)</f>
        <v>464953.3103609575</v>
      </c>
    </row>
    <row r="25" spans="1:4" ht="12.75">
      <c r="A25">
        <f t="shared" si="0"/>
        <v>2026</v>
      </c>
      <c r="B25" s="1">
        <f>_XLL.SIMULATIONMEAN('Retirement Model Projection'!$M25)</f>
        <v>77580.36560046405</v>
      </c>
      <c r="C25" s="1">
        <f>_XLL.SIMULATIONPERCENTILE('Retirement Model Projection'!$M25,5%)</f>
        <v>0</v>
      </c>
      <c r="D25" s="1">
        <f>_XLL.SIMULATIONPERCENTILE('Retirement Model Projection'!$M25,95%)</f>
        <v>377716.74506150436</v>
      </c>
    </row>
    <row r="26" spans="1:4" ht="12.75">
      <c r="A26">
        <f t="shared" si="0"/>
        <v>2027</v>
      </c>
      <c r="B26" s="1">
        <f>_XLL.SIMULATIONMEAN('Retirement Model Projection'!$M26)</f>
        <v>46020.98875297372</v>
      </c>
      <c r="C26" s="1">
        <f>_XLL.SIMULATIONPERCENTILE('Retirement Model Projection'!$M26,5%)</f>
        <v>0</v>
      </c>
      <c r="D26" s="1">
        <f>_XLL.SIMULATIONPERCENTILE('Retirement Model Projection'!$M26,95%)</f>
        <v>284650.53907047794</v>
      </c>
    </row>
    <row r="27" spans="1:4" ht="12.75">
      <c r="A27">
        <f t="shared" si="0"/>
        <v>2028</v>
      </c>
      <c r="B27" s="1">
        <f>_XLL.SIMULATIONMEAN('Retirement Model Projection'!$M27)</f>
        <v>26112.03987359741</v>
      </c>
      <c r="C27" s="1">
        <f>_XLL.SIMULATIONPERCENTILE('Retirement Model Projection'!$M27,5%)</f>
        <v>0</v>
      </c>
      <c r="D27" s="1">
        <f>_XLL.SIMULATIONPERCENTILE('Retirement Model Projection'!$M27,95%)</f>
        <v>193676.94417927688</v>
      </c>
    </row>
    <row r="28" spans="1:4" ht="12.75">
      <c r="A28">
        <f t="shared" si="0"/>
        <v>2029</v>
      </c>
      <c r="B28" s="1">
        <f>_XLL.SIMULATIONMEAN('Retirement Model Projection'!$M28)</f>
        <v>14273.815632175174</v>
      </c>
      <c r="C28" s="1">
        <f>_XLL.SIMULATIONPERCENTILE('Retirement Model Projection'!$M28,5%)</f>
        <v>0</v>
      </c>
      <c r="D28" s="1">
        <f>_XLL.SIMULATIONPERCENTILE('Retirement Model Projection'!$M28,95%)</f>
        <v>94011.36409020217</v>
      </c>
    </row>
    <row r="29" spans="1:4" ht="12.75">
      <c r="A29">
        <f t="shared" si="0"/>
        <v>2030</v>
      </c>
      <c r="B29" s="1">
        <f>_XLL.SIMULATIONMEAN('Retirement Model Projection'!$M29)</f>
        <v>7769.586672707774</v>
      </c>
      <c r="C29" s="1">
        <f>_XLL.SIMULATIONPERCENTILE('Retirement Model Projection'!$M29,5%)</f>
        <v>0</v>
      </c>
      <c r="D29" s="1">
        <f>_XLL.SIMULATIONPERCENTILE('Retirement Model Projection'!$M29,95%)</f>
        <v>0</v>
      </c>
    </row>
    <row r="30" spans="1:4" ht="12.75">
      <c r="A30">
        <f t="shared" si="0"/>
        <v>2031</v>
      </c>
      <c r="B30" s="1">
        <f>_XLL.SIMULATIONMEAN('Retirement Model Projection'!$M30)</f>
        <v>4370.136481841119</v>
      </c>
      <c r="C30" s="1">
        <f>_XLL.SIMULATIONPERCENTILE('Retirement Model Projection'!$M30,5%)</f>
        <v>0</v>
      </c>
      <c r="D30" s="1">
        <f>_XLL.SIMULATIONPERCENTILE('Retirement Model Projection'!$M30,95%)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Duncan Werner</cp:lastModifiedBy>
  <dcterms:created xsi:type="dcterms:W3CDTF">2006-10-26T17:46:56Z</dcterms:created>
  <dcterms:modified xsi:type="dcterms:W3CDTF">2006-11-08T22:44:12Z</dcterms:modified>
  <cp:category/>
  <cp:version/>
  <cp:contentType/>
  <cp:contentStatus/>
</cp:coreProperties>
</file>